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21" windowWidth="4380" windowHeight="5475" tabRatio="601" activeTab="0"/>
  </bookViews>
  <sheets>
    <sheet name="INVESTMENTS" sheetId="1" r:id="rId1"/>
    <sheet name="CASH RECONC" sheetId="2" r:id="rId2"/>
    <sheet name="CASH REPORT" sheetId="3" r:id="rId3"/>
  </sheets>
  <definedNames>
    <definedName name="_Regression_Int" localSheetId="0" hidden="1">1</definedName>
    <definedName name="_xlnm.Print_Area" localSheetId="1">'CASH RECONC'!$A$1:$H$231</definedName>
    <definedName name="_xlnm.Print_Area" localSheetId="2">'CASH REPORT'!$A$1:$I$246</definedName>
    <definedName name="_xlnm.Print_Area" localSheetId="0">'INVESTMENTS'!$A$1:$I$61</definedName>
  </definedNames>
  <calcPr fullCalcOnLoad="1" fullPrecision="0"/>
</workbook>
</file>

<file path=xl/sharedStrings.xml><?xml version="1.0" encoding="utf-8"?>
<sst xmlns="http://schemas.openxmlformats.org/spreadsheetml/2006/main" count="818" uniqueCount="260">
  <si>
    <t>SCHOOL DISTRICT:</t>
  </si>
  <si>
    <t>COUNTY:</t>
  </si>
  <si>
    <t>SDE Number:</t>
  </si>
  <si>
    <t>INVESTMENTS</t>
  </si>
  <si>
    <t xml:space="preserve">INVESTED </t>
  </si>
  <si>
    <t>CONVERTED</t>
  </si>
  <si>
    <t>ACCOUNT</t>
  </si>
  <si>
    <t>ON HAND FIRST</t>
  </si>
  <si>
    <t>THIS</t>
  </si>
  <si>
    <t>ON HAND END</t>
  </si>
  <si>
    <t>OF PERIOD</t>
  </si>
  <si>
    <t>PERIOD</t>
  </si>
  <si>
    <t>OPERATIONAL (11000):</t>
  </si>
  <si>
    <t>TEACHERAGE (12000):</t>
  </si>
  <si>
    <t>TRANSPORTATION (13000):</t>
  </si>
  <si>
    <t>INSTR. MATERIALS (14000):</t>
  </si>
  <si>
    <t>FOOD SERVICES (21000):</t>
  </si>
  <si>
    <t>ATHLETICS (22000):</t>
  </si>
  <si>
    <t>NON-INSTRUCTIONAL (23000):</t>
  </si>
  <si>
    <t>LOCAL/STATE (25000):</t>
  </si>
  <si>
    <t>CAP. IMPR. SB-9 (31700):</t>
  </si>
  <si>
    <t>DEBT SERVICE (41000):</t>
  </si>
  <si>
    <t>TOTALS</t>
  </si>
  <si>
    <t>RECORD OF BOND INDEBTEDNESS</t>
  </si>
  <si>
    <t>PRINCIPAL</t>
  </si>
  <si>
    <t xml:space="preserve"> </t>
  </si>
  <si>
    <t>INTEREST</t>
  </si>
  <si>
    <t>Date</t>
  </si>
  <si>
    <t>Original</t>
  </si>
  <si>
    <t>Redeemed</t>
  </si>
  <si>
    <t>Total</t>
  </si>
  <si>
    <t>Interest</t>
  </si>
  <si>
    <t>Paid</t>
  </si>
  <si>
    <t>Of</t>
  </si>
  <si>
    <t>Amount</t>
  </si>
  <si>
    <t>This</t>
  </si>
  <si>
    <t>to</t>
  </si>
  <si>
    <t>Outstanding</t>
  </si>
  <si>
    <t>Due for</t>
  </si>
  <si>
    <t>To</t>
  </si>
  <si>
    <t>Issue</t>
  </si>
  <si>
    <t>Of Issue</t>
  </si>
  <si>
    <t>Period</t>
  </si>
  <si>
    <t>To Date</t>
  </si>
  <si>
    <t>00/00/00</t>
  </si>
  <si>
    <t>COMMENTS:</t>
  </si>
  <si>
    <t>##-CSH96.WK1</t>
  </si>
  <si>
    <t xml:space="preserve"> 1995 - 1996 PERIODIC CASH REPORTS</t>
  </si>
  <si>
    <t xml:space="preserve">   THE FOLLOWING IS A BRIEF LIST OF THE MACROS YOU</t>
  </si>
  <si>
    <t>WILL NEED TO OPERATE THIS WORKSHEET:</t>
  </si>
  <si>
    <t>"ALT"</t>
  </si>
  <si>
    <t>M</t>
  </si>
  <si>
    <t>Will provide a hardcopy of these</t>
  </si>
  <si>
    <t>instructions.</t>
  </si>
  <si>
    <t>O</t>
  </si>
  <si>
    <t>Select printer setup string</t>
  </si>
  <si>
    <t>P</t>
  </si>
  <si>
    <t>This will give you a printout of your</t>
  </si>
  <si>
    <t>worksheet the setup string is set to</t>
  </si>
  <si>
    <t>\015.</t>
  </si>
  <si>
    <t>S</t>
  </si>
  <si>
    <t>Will save the worksheet.</t>
  </si>
  <si>
    <t>T</t>
  </si>
  <si>
    <t>Allows you access to the input menu.</t>
  </si>
  <si>
    <t>I</t>
  </si>
  <si>
    <t>**** END MESSAGE ****</t>
  </si>
  <si>
    <t>OPERATIONAL</t>
  </si>
  <si>
    <t>TEACHERAGE</t>
  </si>
  <si>
    <t>TRANSPORTATION</t>
  </si>
  <si>
    <t>INSTRUCTIONAL</t>
  </si>
  <si>
    <t>FOOD SERVICES</t>
  </si>
  <si>
    <t>ATHLETICS</t>
  </si>
  <si>
    <t>MATERIALS</t>
  </si>
  <si>
    <t>11000</t>
  </si>
  <si>
    <t>12000</t>
  </si>
  <si>
    <t>13000</t>
  </si>
  <si>
    <t>14000</t>
  </si>
  <si>
    <t>21000</t>
  </si>
  <si>
    <t>22000</t>
  </si>
  <si>
    <t>RECONCILIATION OF OUTSTANDING CHECKS/WARRANTS</t>
  </si>
  <si>
    <t>Outstanding to Date Last Report</t>
  </si>
  <si>
    <t>+</t>
  </si>
  <si>
    <t>Total Expenditures (This Period Only)</t>
  </si>
  <si>
    <t>Cash Distributed by Bank/Treasurer</t>
  </si>
  <si>
    <t>-</t>
  </si>
  <si>
    <t>**   Adjustment</t>
  </si>
  <si>
    <t>TOTAL OUTSTANDING TO DATE</t>
  </si>
  <si>
    <t>(Must Equal Check Register)</t>
  </si>
  <si>
    <t>=</t>
  </si>
  <si>
    <t>RECONCILIATION OF CASH AVAILABLE</t>
  </si>
  <si>
    <t>Bank/Treasurer Cash Bal. 1st of Period</t>
  </si>
  <si>
    <t>Insufficient Fund Checks (Charge Back)</t>
  </si>
  <si>
    <t>Bank/Treasurer Adjustment  **</t>
  </si>
  <si>
    <t>Investments Invested</t>
  </si>
  <si>
    <t>Investments Converted</t>
  </si>
  <si>
    <t>Outstanding Warrants or Checks to Date</t>
  </si>
  <si>
    <t>Net Cash End of Period</t>
  </si>
  <si>
    <t>+ or -</t>
  </si>
  <si>
    <t>Net Cash End of Period(Same as Cash Con. Led.)</t>
  </si>
  <si>
    <t>A =</t>
  </si>
  <si>
    <t>Investments on Hand</t>
  </si>
  <si>
    <t>B +</t>
  </si>
  <si>
    <t>Total Cash  A + B</t>
  </si>
  <si>
    <t>RECONCILIATION WITH BANK/TREASURER</t>
  </si>
  <si>
    <t>Bank/Treasurer Bal. End of Period</t>
  </si>
  <si>
    <t>Cash Adj. Pend      **</t>
  </si>
  <si>
    <t>Deposits in Transit **</t>
  </si>
  <si>
    <t>Outstanding Loans   **</t>
  </si>
  <si>
    <t>Outstanding Checks or Warrants to Date</t>
  </si>
  <si>
    <t>NET CASH END OF PERIOD (Same As A Above)</t>
  </si>
  <si>
    <t>** PLEASE ensure an explanation of ALL the adjustments is included on the explanation section!!</t>
  </si>
  <si>
    <t>NON-INSTRUCT.</t>
  </si>
  <si>
    <t>FED. PROJ.</t>
  </si>
  <si>
    <t>LOCAL/STATE</t>
  </si>
  <si>
    <t xml:space="preserve">BOND </t>
  </si>
  <si>
    <t>PUBLIC SCHOOL</t>
  </si>
  <si>
    <t>SPEC. CAP.</t>
  </si>
  <si>
    <t>BUILDING</t>
  </si>
  <si>
    <t>CAP. OUTLAY</t>
  </si>
  <si>
    <t>OUTLAY-LOCAL</t>
  </si>
  <si>
    <t>23000</t>
  </si>
  <si>
    <t>24000</t>
  </si>
  <si>
    <t>25000</t>
  </si>
  <si>
    <t>31100</t>
  </si>
  <si>
    <t>31200</t>
  </si>
  <si>
    <t>31300</t>
  </si>
  <si>
    <t xml:space="preserve">SPEC. CAP. </t>
  </si>
  <si>
    <t>CAP. IMPROV.</t>
  </si>
  <si>
    <t>ENERGY</t>
  </si>
  <si>
    <t>ED. TECH.</t>
  </si>
  <si>
    <t>OUTLAY-STATE</t>
  </si>
  <si>
    <t>OUTLAY-FEDERAL</t>
  </si>
  <si>
    <t>HB 33</t>
  </si>
  <si>
    <t>SB9</t>
  </si>
  <si>
    <t>EFFICIENCY</t>
  </si>
  <si>
    <t>EQUIPMENT ACT</t>
  </si>
  <si>
    <t>31400</t>
  </si>
  <si>
    <t>31500</t>
  </si>
  <si>
    <t>31600</t>
  </si>
  <si>
    <t>31700</t>
  </si>
  <si>
    <t>31800</t>
  </si>
  <si>
    <t>31900</t>
  </si>
  <si>
    <t>DEBT SERVICE</t>
  </si>
  <si>
    <t>DEFERRED SICK</t>
  </si>
  <si>
    <t>ED TECH DEBT</t>
  </si>
  <si>
    <t>FUND</t>
  </si>
  <si>
    <t>LEAVE FUND</t>
  </si>
  <si>
    <t>SERVICE</t>
  </si>
  <si>
    <t>41000</t>
  </si>
  <si>
    <t>42000</t>
  </si>
  <si>
    <t>43000</t>
  </si>
  <si>
    <t>DISTRICT NO:</t>
  </si>
  <si>
    <t>FROM</t>
  </si>
  <si>
    <t>AMOUNT</t>
  </si>
  <si>
    <t>TO</t>
  </si>
  <si>
    <t>Explicit Explanation</t>
  </si>
  <si>
    <t>TRANSPORTAT.</t>
  </si>
  <si>
    <t>+OR-</t>
  </si>
  <si>
    <t xml:space="preserve">Prior Year Warrants Voided </t>
  </si>
  <si>
    <t>Total Resources to Date for Current Year</t>
  </si>
  <si>
    <t>Current Year Expenditures to Date</t>
  </si>
  <si>
    <t>Refunds **</t>
  </si>
  <si>
    <t>Indicate Investments on Hand as minus figures</t>
  </si>
  <si>
    <t>Receivables/Payables  **</t>
  </si>
  <si>
    <t>Net Cash</t>
  </si>
  <si>
    <t>Total Cash</t>
  </si>
  <si>
    <t>+or-</t>
  </si>
  <si>
    <t xml:space="preserve">TOTAL CASH BALANCE  </t>
  </si>
  <si>
    <t>IDENTIFY VALID ENCUMBRANCE TOTALS:</t>
  </si>
  <si>
    <t>** Identify in appropriate section!</t>
  </si>
  <si>
    <t>CLEARING ACCOUNT CASH BALANCES:</t>
  </si>
  <si>
    <t>Payroll Clearing Account:</t>
  </si>
  <si>
    <t>Accounts Payable Clearing Account:</t>
  </si>
  <si>
    <t>IF THERE ARE CLEARING ACCOUNT BALANCES, PLEASE EXPLAIN WHY:</t>
  </si>
  <si>
    <t>FEDERAL PROJ.</t>
  </si>
  <si>
    <t>BOND</t>
  </si>
  <si>
    <t>OUTLAY-FED.</t>
  </si>
  <si>
    <t>SB 9</t>
  </si>
  <si>
    <t>PSCO-20%</t>
  </si>
  <si>
    <t>SPEC.CAP.</t>
  </si>
  <si>
    <t>PSOC-20%</t>
  </si>
  <si>
    <t>SPEC. CAP</t>
  </si>
  <si>
    <t>CAP.IMPROV.</t>
  </si>
  <si>
    <t>ED.TECH.</t>
  </si>
  <si>
    <t>EQUIP.ACT</t>
  </si>
  <si>
    <t>Adjustment for Refunds (Abatements)  **</t>
  </si>
  <si>
    <t>PSCO 20% (32100)</t>
  </si>
  <si>
    <t xml:space="preserve">          (Per Expenditure Report)</t>
  </si>
  <si>
    <r>
      <t xml:space="preserve">Charge Backs   </t>
    </r>
    <r>
      <rPr>
        <i/>
        <sz val="8"/>
        <rFont val="Courier"/>
        <family val="3"/>
      </rPr>
      <t>(Overdrafts)</t>
    </r>
  </si>
  <si>
    <r>
      <t xml:space="preserve">Outstanding Loans   </t>
    </r>
    <r>
      <rPr>
        <i/>
        <sz val="8"/>
        <rFont val="Courier"/>
        <family val="3"/>
      </rPr>
      <t>( '+' for Fund owed Repayment,</t>
    </r>
  </si>
  <si>
    <t xml:space="preserve">      '-' for Fund who must make Repayment)</t>
  </si>
  <si>
    <t xml:space="preserve">          Refunds &amp; including any Deposits in Transit)</t>
  </si>
  <si>
    <r>
      <t xml:space="preserve">Current Year Rev. to Date </t>
    </r>
    <r>
      <rPr>
        <i/>
        <sz val="8"/>
        <rFont val="Courier"/>
        <family val="3"/>
      </rPr>
      <t xml:space="preserve">  (Per Receipts Report-excluding </t>
    </r>
  </si>
  <si>
    <r>
      <t xml:space="preserve">Charge backs  </t>
    </r>
    <r>
      <rPr>
        <i/>
        <sz val="8"/>
        <rFont val="Courier"/>
        <family val="3"/>
      </rPr>
      <t>(Overdrafts)</t>
    </r>
  </si>
  <si>
    <r>
      <t>Cash Transfers</t>
    </r>
    <r>
      <rPr>
        <i/>
        <sz val="9"/>
        <rFont val="Courier"/>
        <family val="3"/>
      </rPr>
      <t xml:space="preserve"> (Provide full explanation on last page) **</t>
    </r>
  </si>
  <si>
    <t>Error message if Net Cash end of period not same as A above.</t>
  </si>
  <si>
    <t>Error message if Cash Report not balanced to Cash Reconciliation Report.</t>
  </si>
  <si>
    <t>CASH TRANSFERS and ADJUSTMENTS</t>
  </si>
  <si>
    <t>CASH TRANSFERS AND ADJUSTMENTS</t>
  </si>
  <si>
    <t xml:space="preserve">Please identify all cash transfers and cash adjustments </t>
  </si>
  <si>
    <t>per school district books.  Enter the name or fund number</t>
  </si>
  <si>
    <t>on the FROM FUND and TO FUND columns.  Please list each</t>
  </si>
  <si>
    <t>transaction separately.</t>
  </si>
  <si>
    <t>Cash Adj. Pending **</t>
  </si>
  <si>
    <t>Prior year warrants voided (stale dated)</t>
  </si>
  <si>
    <t>Checks/Warrants Voided        ** Current period voided checks</t>
  </si>
  <si>
    <t>Adjustment for refunds (abatements)**</t>
  </si>
  <si>
    <t>excluding abatements.)</t>
  </si>
  <si>
    <r>
      <t xml:space="preserve">Receipts this Period </t>
    </r>
    <r>
      <rPr>
        <i/>
        <sz val="9"/>
        <rFont val="Courier"/>
        <family val="3"/>
      </rPr>
      <t>(Including any deposits in transit and</t>
    </r>
  </si>
  <si>
    <t>Insufficient Fund Checks (Re-deposit)</t>
  </si>
  <si>
    <t xml:space="preserve"> Prior Fiscal Year Audit)</t>
  </si>
  <si>
    <t>Interfund Cash Transfer  (permanent)  **</t>
  </si>
  <si>
    <t>Interfund Cash Transfer   (permanent)  **</t>
  </si>
  <si>
    <t xml:space="preserve">GRAND </t>
  </si>
  <si>
    <t>TOTAL</t>
  </si>
  <si>
    <t>ALL FUNDS</t>
  </si>
  <si>
    <t>PED Number:</t>
  </si>
  <si>
    <t>PED No.:</t>
  </si>
  <si>
    <r>
      <t>Cash Transfer</t>
    </r>
    <r>
      <rPr>
        <sz val="9"/>
        <rFont val="Courier"/>
        <family val="3"/>
      </rPr>
      <t>s</t>
    </r>
    <r>
      <rPr>
        <i/>
        <sz val="9"/>
        <rFont val="Courier"/>
        <family val="3"/>
      </rPr>
      <t>(Provide full explanation on last page) **</t>
    </r>
  </si>
  <si>
    <t>BOND BUILDING (31100):</t>
  </si>
  <si>
    <t>PSCO (31200):</t>
  </si>
  <si>
    <t>SPECIAL C/0 - LOCAL (31300):</t>
  </si>
  <si>
    <t>SPECIAL C/O - STATE (31400):</t>
  </si>
  <si>
    <t>HB-33 (31600):</t>
  </si>
  <si>
    <t>ENERGY EFFICIENCY (31800):</t>
  </si>
  <si>
    <t>ED TECH (31900)</t>
  </si>
  <si>
    <t>SPECIAL C/O - FEDERAL (31500):</t>
  </si>
  <si>
    <t>ED TECH DEBT SERVICE (43000):</t>
  </si>
  <si>
    <t xml:space="preserve">PED DISTRICT NO.:     </t>
  </si>
  <si>
    <t>FEDERAL PROJ. (24000):</t>
  </si>
  <si>
    <t>DEFFERED SICK (42000</t>
  </si>
  <si>
    <t>CSH-F04</t>
  </si>
  <si>
    <t>Outstanding Loans  (temp cash transfers) * Linked from Cash Rpt</t>
  </si>
  <si>
    <t>Outstanding Loan  (temp cash transfer) * Linked from Cash Rpt</t>
  </si>
  <si>
    <t>GADSDEN</t>
  </si>
  <si>
    <t>DONA ANA</t>
  </si>
  <si>
    <t>19</t>
  </si>
  <si>
    <t>07/15/96</t>
  </si>
  <si>
    <t>07/15/97</t>
  </si>
  <si>
    <t>07/15/98</t>
  </si>
  <si>
    <t>09/27/99</t>
  </si>
  <si>
    <t>09/26/00</t>
  </si>
  <si>
    <t>09/15/01</t>
  </si>
  <si>
    <t>09/15/02</t>
  </si>
  <si>
    <t>09/15/03</t>
  </si>
  <si>
    <t>SCHOOL DISTRICT/CHARTER:  GADSDEN</t>
  </si>
  <si>
    <t>SCHOOL DISTRICT/CHARTER:   GADSDEN</t>
  </si>
  <si>
    <t>Investments on Hand 06/30/04</t>
  </si>
  <si>
    <t>Total Cash 06/30/04</t>
  </si>
  <si>
    <r>
      <t xml:space="preserve">AUDITED NET CASH 06/30/04  </t>
    </r>
    <r>
      <rPr>
        <i/>
        <sz val="8"/>
        <rFont val="Courier"/>
        <family val="3"/>
      </rPr>
      <t xml:space="preserve">  (Taken from the district/charter</t>
    </r>
  </si>
  <si>
    <r>
      <t>Other Account:_</t>
    </r>
    <r>
      <rPr>
        <u val="single"/>
        <sz val="9"/>
        <rFont val="Courier"/>
        <family val="3"/>
      </rPr>
      <t>Trust and Agency Funds</t>
    </r>
    <r>
      <rPr>
        <sz val="9"/>
        <rFont val="Courier"/>
        <family val="0"/>
      </rPr>
      <t>___:</t>
    </r>
  </si>
  <si>
    <t>09/28/04</t>
  </si>
  <si>
    <t>Change in Accruals</t>
  </si>
  <si>
    <t>Month/Quarter:                      MARCH 2005</t>
  </si>
  <si>
    <t>Month/Quarter:                        MARCH 2005</t>
  </si>
  <si>
    <t>Total Cash 06/30/05</t>
  </si>
  <si>
    <t>3rd Qtr Liabilities</t>
  </si>
  <si>
    <t>Current Period Payables</t>
  </si>
  <si>
    <t>Clear Prior Pending Cash Adjustments</t>
  </si>
  <si>
    <t>Trust Account Beginning Cash Balance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</si>
</sst>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;;;"/>
    <numFmt numFmtId="168" formatCode="General_)"/>
    <numFmt numFmtId="169" formatCode="mm/dd/yy"/>
    <numFmt numFmtId="170" formatCode="0.00_);\(0.00\)"/>
    <numFmt numFmtId="171" formatCode="#,##0.000_);\(#,##0.000\)"/>
    <numFmt numFmtId="172" formatCode="#,##0.0000_);\(#,##0.0000\)"/>
    <numFmt numFmtId="173" formatCode="#,##0.0_);\(#,##0.0\)"/>
    <numFmt numFmtId="174" formatCode="0_);[Red]\(0\)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9"/>
      <name val="Courier"/>
      <family val="0"/>
    </font>
    <font>
      <sz val="9"/>
      <color indexed="12"/>
      <name val="Courier"/>
      <family val="0"/>
    </font>
    <font>
      <b/>
      <sz val="9"/>
      <name val="Courier"/>
      <family val="0"/>
    </font>
    <font>
      <sz val="9"/>
      <color indexed="10"/>
      <name val="Courier"/>
      <family val="3"/>
    </font>
    <font>
      <i/>
      <sz val="8"/>
      <name val="Courier"/>
      <family val="3"/>
    </font>
    <font>
      <i/>
      <sz val="9"/>
      <name val="Courier"/>
      <family val="3"/>
    </font>
    <font>
      <i/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9"/>
      <color indexed="48"/>
      <name val="Courier"/>
      <family val="3"/>
    </font>
    <font>
      <sz val="7.5"/>
      <name val="Courier"/>
      <family val="3"/>
    </font>
    <font>
      <sz val="8"/>
      <name val="Courier"/>
      <family val="0"/>
    </font>
    <font>
      <u val="single"/>
      <sz val="9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9">
    <xf numFmtId="39" fontId="0" fillId="0" borderId="0" xfId="0" applyAlignment="1">
      <alignment/>
    </xf>
    <xf numFmtId="39" fontId="0" fillId="0" borderId="1" xfId="0" applyBorder="1" applyAlignment="1" applyProtection="1">
      <alignment horizontal="center"/>
      <protection/>
    </xf>
    <xf numFmtId="39" fontId="6" fillId="0" borderId="0" xfId="0" applyFont="1" applyAlignment="1" applyProtection="1">
      <alignment horizontal="left"/>
      <protection/>
    </xf>
    <xf numFmtId="39" fontId="6" fillId="0" borderId="0" xfId="0" applyFont="1" applyAlignment="1" applyProtection="1">
      <alignment/>
      <protection/>
    </xf>
    <xf numFmtId="39" fontId="6" fillId="0" borderId="0" xfId="0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39" fontId="6" fillId="0" borderId="0" xfId="0" applyFont="1" applyAlignment="1" applyProtection="1">
      <alignment horizontal="fill"/>
      <protection/>
    </xf>
    <xf numFmtId="39" fontId="6" fillId="0" borderId="1" xfId="0" applyFont="1" applyBorder="1" applyAlignment="1" applyProtection="1">
      <alignment horizontal="center"/>
      <protection/>
    </xf>
    <xf numFmtId="39" fontId="6" fillId="0" borderId="2" xfId="0" applyFont="1" applyBorder="1" applyAlignment="1" applyProtection="1">
      <alignment horizontal="center"/>
      <protection/>
    </xf>
    <xf numFmtId="39" fontId="0" fillId="0" borderId="0" xfId="0" applyAlignment="1" applyProtection="1">
      <alignment horizontal="left" vertical="center"/>
      <protection/>
    </xf>
    <xf numFmtId="39" fontId="0" fillId="0" borderId="0" xfId="0" applyAlignment="1" applyProtection="1">
      <alignment horizontal="fill" vertical="center"/>
      <protection/>
    </xf>
    <xf numFmtId="39" fontId="0" fillId="0" borderId="0" xfId="0" applyAlignment="1" applyProtection="1">
      <alignment horizontal="center" vertic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5" fillId="0" borderId="0" xfId="0" applyFont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/>
    </xf>
    <xf numFmtId="39" fontId="0" fillId="0" borderId="0" xfId="0" applyAlignment="1" applyProtection="1">
      <alignment vertical="center"/>
      <protection/>
    </xf>
    <xf numFmtId="39" fontId="0" fillId="0" borderId="0" xfId="0" applyBorder="1" applyAlignment="1" applyProtection="1">
      <alignment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39" fontId="6" fillId="0" borderId="6" xfId="0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6" xfId="0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7" fontId="6" fillId="0" borderId="4" xfId="0" applyNumberFormat="1" applyFont="1" applyBorder="1" applyAlignment="1" applyProtection="1">
      <alignment vertical="center"/>
      <protection/>
    </xf>
    <xf numFmtId="39" fontId="6" fillId="0" borderId="6" xfId="0" applyFont="1" applyBorder="1" applyAlignment="1" applyProtection="1">
      <alignment horizontal="right" vertical="center"/>
      <protection/>
    </xf>
    <xf numFmtId="39" fontId="6" fillId="0" borderId="7" xfId="0" applyFont="1" applyBorder="1" applyAlignment="1" applyProtection="1">
      <alignment horizontal="left" vertical="center"/>
      <protection/>
    </xf>
    <xf numFmtId="39" fontId="6" fillId="0" borderId="8" xfId="0" applyFont="1" applyBorder="1" applyAlignment="1" applyProtection="1">
      <alignment horizontal="left" vertical="center"/>
      <protection/>
    </xf>
    <xf numFmtId="39" fontId="6" fillId="0" borderId="3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vertical="center"/>
      <protection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7" xfId="0" applyFont="1" applyBorder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fill" vertical="center"/>
      <protection/>
    </xf>
    <xf numFmtId="39" fontId="6" fillId="0" borderId="2" xfId="0" applyFont="1" applyBorder="1" applyAlignment="1" applyProtection="1">
      <alignment horizontal="fill" vertical="center"/>
      <protection/>
    </xf>
    <xf numFmtId="39" fontId="6" fillId="0" borderId="8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39" fontId="8" fillId="0" borderId="0" xfId="0" applyFont="1" applyAlignment="1" applyProtection="1">
      <alignment horizontal="left" vertical="center"/>
      <protection/>
    </xf>
    <xf numFmtId="39" fontId="6" fillId="0" borderId="0" xfId="0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left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center"/>
      <protection locked="0"/>
    </xf>
    <xf numFmtId="39" fontId="9" fillId="0" borderId="0" xfId="0" applyFont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0" fontId="6" fillId="0" borderId="6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39" fontId="6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 quotePrefix="1">
      <alignment horizontal="right"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7" fontId="7" fillId="0" borderId="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fill" vertical="center"/>
      <protection/>
    </xf>
    <xf numFmtId="39" fontId="0" fillId="0" borderId="10" xfId="0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 quotePrefix="1">
      <alignment horizontal="left" vertical="top"/>
      <protection/>
    </xf>
    <xf numFmtId="0" fontId="9" fillId="0" borderId="6" xfId="0" applyNumberFormat="1" applyFont="1" applyBorder="1" applyAlignment="1" applyProtection="1">
      <alignment horizontal="left" vertical="center"/>
      <protection/>
    </xf>
    <xf numFmtId="7" fontId="7" fillId="0" borderId="5" xfId="0" applyNumberFormat="1" applyFont="1" applyBorder="1" applyAlignment="1" applyProtection="1">
      <alignment vertical="top"/>
      <protection locked="0"/>
    </xf>
    <xf numFmtId="7" fontId="7" fillId="0" borderId="2" xfId="0" applyNumberFormat="1" applyFont="1" applyBorder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 vertical="center"/>
      <protection/>
    </xf>
    <xf numFmtId="39" fontId="12" fillId="0" borderId="0" xfId="0" applyFont="1" applyAlignment="1" applyProtection="1">
      <alignment horizontal="fill" vertical="center"/>
      <protection/>
    </xf>
    <xf numFmtId="39" fontId="10" fillId="0" borderId="0" xfId="0" applyFont="1" applyAlignment="1" applyProtection="1">
      <alignment horizontal="left" vertical="center"/>
      <protection/>
    </xf>
    <xf numFmtId="39" fontId="11" fillId="0" borderId="6" xfId="0" applyFont="1" applyBorder="1" applyAlignment="1" applyProtection="1">
      <alignment horizontal="left" vertical="center"/>
      <protection/>
    </xf>
    <xf numFmtId="0" fontId="10" fillId="0" borderId="6" xfId="0" applyNumberFormat="1" applyFont="1" applyBorder="1" applyAlignment="1" applyProtection="1">
      <alignment horizontal="left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0" fontId="6" fillId="0" borderId="3" xfId="0" applyNumberFormat="1" applyFont="1" applyBorder="1" applyAlignment="1" applyProtection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/>
      <protection/>
    </xf>
    <xf numFmtId="39" fontId="6" fillId="0" borderId="7" xfId="0" applyFont="1" applyBorder="1" applyAlignment="1" applyProtection="1">
      <alignment/>
      <protection/>
    </xf>
    <xf numFmtId="39" fontId="6" fillId="0" borderId="1" xfId="0" applyFont="1" applyBorder="1" applyAlignment="1" applyProtection="1">
      <alignment/>
      <protection/>
    </xf>
    <xf numFmtId="39" fontId="6" fillId="0" borderId="6" xfId="0" applyFont="1" applyBorder="1" applyAlignment="1" applyProtection="1">
      <alignment vertical="center"/>
      <protection/>
    </xf>
    <xf numFmtId="39" fontId="6" fillId="0" borderId="8" xfId="0" applyFont="1" applyBorder="1" applyAlignment="1" applyProtection="1">
      <alignment vertical="top"/>
      <protection/>
    </xf>
    <xf numFmtId="39" fontId="6" fillId="0" borderId="3" xfId="0" applyFont="1" applyBorder="1" applyAlignment="1" applyProtection="1">
      <alignment vertical="top"/>
      <protection/>
    </xf>
    <xf numFmtId="39" fontId="0" fillId="0" borderId="3" xfId="0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 vertical="top"/>
      <protection/>
    </xf>
    <xf numFmtId="39" fontId="7" fillId="0" borderId="0" xfId="0" applyNumberFormat="1" applyFont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6" fillId="0" borderId="1" xfId="0" applyFont="1" applyBorder="1" applyAlignment="1" applyProtection="1">
      <alignment vertical="center"/>
      <protection/>
    </xf>
    <xf numFmtId="39" fontId="6" fillId="0" borderId="2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6" fillId="0" borderId="7" xfId="0" applyFont="1" applyBorder="1" applyAlignment="1" applyProtection="1">
      <alignment vertical="center"/>
      <protection/>
    </xf>
    <xf numFmtId="39" fontId="5" fillId="0" borderId="0" xfId="0" applyFont="1" applyAlignment="1" applyProtection="1">
      <alignment vertical="center"/>
      <protection/>
    </xf>
    <xf numFmtId="39" fontId="0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6" fillId="0" borderId="0" xfId="0" applyFont="1" applyAlignment="1" applyProtection="1">
      <alignment horizontal="left"/>
      <protection locked="0"/>
    </xf>
    <xf numFmtId="39" fontId="0" fillId="0" borderId="0" xfId="0" applyAlignment="1" applyProtection="1">
      <alignment/>
      <protection locked="0"/>
    </xf>
    <xf numFmtId="39" fontId="8" fillId="0" borderId="0" xfId="0" applyFont="1" applyAlignment="1" applyProtection="1">
      <alignment horizontal="left"/>
      <protection locked="0"/>
    </xf>
    <xf numFmtId="39" fontId="6" fillId="0" borderId="0" xfId="0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/>
      <protection locked="0"/>
    </xf>
    <xf numFmtId="39" fontId="0" fillId="0" borderId="0" xfId="0" applyBorder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 locked="0"/>
    </xf>
    <xf numFmtId="39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39" fontId="6" fillId="0" borderId="0" xfId="0" applyFont="1" applyAlignment="1" applyProtection="1">
      <alignment vertical="center"/>
      <protection locked="0"/>
    </xf>
    <xf numFmtId="39" fontId="6" fillId="0" borderId="0" xfId="0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/>
    </xf>
    <xf numFmtId="0" fontId="6" fillId="0" borderId="7" xfId="0" applyNumberFormat="1" applyFont="1" applyBorder="1" applyAlignment="1" applyProtection="1">
      <alignment/>
      <protection/>
    </xf>
    <xf numFmtId="39" fontId="6" fillId="0" borderId="1" xfId="0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top"/>
      <protection/>
    </xf>
    <xf numFmtId="39" fontId="6" fillId="0" borderId="0" xfId="0" applyFont="1" applyAlignment="1" applyProtection="1" quotePrefix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/>
    </xf>
    <xf numFmtId="39" fontId="0" fillId="0" borderId="10" xfId="0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fill" vertical="center"/>
      <protection/>
    </xf>
    <xf numFmtId="39" fontId="7" fillId="2" borderId="0" xfId="0" applyFont="1" applyFill="1" applyBorder="1" applyAlignment="1" applyProtection="1">
      <alignment horizontal="fill" vertical="center"/>
      <protection/>
    </xf>
    <xf numFmtId="39" fontId="0" fillId="2" borderId="0" xfId="0" applyFill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7" fillId="0" borderId="0" xfId="0" applyFont="1" applyBorder="1" applyAlignment="1" applyProtection="1">
      <alignment vertical="center"/>
      <protection/>
    </xf>
    <xf numFmtId="0" fontId="0" fillId="3" borderId="0" xfId="0" applyNumberFormat="1" applyFill="1" applyAlignment="1" applyProtection="1">
      <alignment vertical="center"/>
      <protection/>
    </xf>
    <xf numFmtId="39" fontId="0" fillId="3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7" xfId="0" applyNumberFormat="1" applyBorder="1" applyAlignment="1" applyProtection="1">
      <alignment vertical="center"/>
      <protection/>
    </xf>
    <xf numFmtId="39" fontId="0" fillId="0" borderId="1" xfId="0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0" borderId="8" xfId="0" applyNumberFormat="1" applyBorder="1" applyAlignment="1" applyProtection="1">
      <alignment vertical="top"/>
      <protection/>
    </xf>
    <xf numFmtId="39" fontId="0" fillId="0" borderId="3" xfId="0" applyBorder="1" applyAlignment="1" applyProtection="1">
      <alignment vertical="top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39" fontId="0" fillId="4" borderId="0" xfId="0" applyFill="1" applyAlignment="1" applyProtection="1">
      <alignment vertical="center"/>
      <protection/>
    </xf>
    <xf numFmtId="39" fontId="0" fillId="0" borderId="0" xfId="0" applyBorder="1" applyAlignment="1" applyProtection="1">
      <alignment horizontal="center" vertical="center"/>
      <protection locked="0"/>
    </xf>
    <xf numFmtId="39" fontId="0" fillId="0" borderId="0" xfId="0" applyBorder="1" applyAlignment="1" applyProtection="1">
      <alignment horizontal="left" vertical="center"/>
      <protection locked="0"/>
    </xf>
    <xf numFmtId="39" fontId="0" fillId="0" borderId="0" xfId="0" applyAlignment="1" applyProtection="1">
      <alignment horizontal="left" vertical="center"/>
      <protection locked="0"/>
    </xf>
    <xf numFmtId="39" fontId="0" fillId="0" borderId="0" xfId="0" applyAlignment="1" applyProtection="1">
      <alignment horizontal="right" vertical="center"/>
      <protection locked="0"/>
    </xf>
    <xf numFmtId="39" fontId="6" fillId="0" borderId="0" xfId="0" applyNumberFormat="1" applyFont="1" applyAlignment="1" applyProtection="1">
      <alignment vertical="center"/>
      <protection locked="0"/>
    </xf>
    <xf numFmtId="39" fontId="6" fillId="0" borderId="4" xfId="0" applyNumberFormat="1" applyFont="1" applyBorder="1" applyAlignment="1" applyProtection="1">
      <alignment vertical="center"/>
      <protection locked="0"/>
    </xf>
    <xf numFmtId="39" fontId="7" fillId="0" borderId="3" xfId="0" applyFont="1" applyBorder="1" applyAlignment="1" applyProtection="1">
      <alignment vertical="center"/>
      <protection/>
    </xf>
    <xf numFmtId="39" fontId="7" fillId="0" borderId="5" xfId="0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left"/>
      <protection locked="0"/>
    </xf>
    <xf numFmtId="39" fontId="6" fillId="0" borderId="1" xfId="0" applyFont="1" applyBorder="1" applyAlignment="1" applyProtection="1">
      <alignment/>
      <protection locked="0"/>
    </xf>
    <xf numFmtId="39" fontId="6" fillId="0" borderId="0" xfId="0" applyFont="1" applyAlignment="1" applyProtection="1" quotePrefix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0" fillId="0" borderId="0" xfId="0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39" fontId="6" fillId="0" borderId="0" xfId="0" applyFont="1" applyAlignment="1" applyProtection="1" quotePrefix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top"/>
      <protection locked="0"/>
    </xf>
    <xf numFmtId="39" fontId="6" fillId="0" borderId="3" xfId="0" applyFont="1" applyBorder="1" applyAlignment="1" applyProtection="1">
      <alignment vertical="top"/>
      <protection locked="0"/>
    </xf>
    <xf numFmtId="39" fontId="6" fillId="0" borderId="0" xfId="0" applyFont="1" applyAlignment="1" applyProtection="1" quotePrefix="1">
      <alignment horizontal="left" vertical="top"/>
      <protection locked="0"/>
    </xf>
    <xf numFmtId="39" fontId="6" fillId="0" borderId="0" xfId="0" applyFont="1" applyAlignment="1" applyProtection="1">
      <alignment vertical="top"/>
      <protection locked="0"/>
    </xf>
    <xf numFmtId="39" fontId="0" fillId="0" borderId="0" xfId="0" applyAlignment="1" applyProtection="1">
      <alignment vertical="top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 vertical="center"/>
      <protection locked="0"/>
    </xf>
    <xf numFmtId="39" fontId="5" fillId="0" borderId="0" xfId="0" applyFont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39" fontId="0" fillId="0" borderId="0" xfId="0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39" fontId="0" fillId="0" borderId="0" xfId="0" applyFont="1" applyAlignment="1" applyProtection="1">
      <alignment horizontal="center" vertical="center"/>
      <protection/>
    </xf>
    <xf numFmtId="39" fontId="7" fillId="0" borderId="4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horizontal="fill" vertical="center"/>
      <protection/>
    </xf>
    <xf numFmtId="39" fontId="7" fillId="0" borderId="0" xfId="0" applyFont="1" applyBorder="1" applyAlignment="1" applyProtection="1">
      <alignment horizontal="fill" vertical="center"/>
      <protection/>
    </xf>
    <xf numFmtId="39" fontId="7" fillId="0" borderId="4" xfId="0" applyFont="1" applyBorder="1" applyAlignment="1" applyProtection="1">
      <alignment horizontal="fill" vertical="center"/>
      <protection/>
    </xf>
    <xf numFmtId="39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vertical="center"/>
      <protection locked="0"/>
    </xf>
    <xf numFmtId="39" fontId="1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 quotePrefix="1">
      <alignment horizontal="lef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/>
    </xf>
    <xf numFmtId="39" fontId="4" fillId="0" borderId="0" xfId="0" applyFont="1" applyAlignment="1" applyProtection="1">
      <alignment horizontal="fill" vertical="center"/>
      <protection/>
    </xf>
    <xf numFmtId="39" fontId="4" fillId="0" borderId="7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 horizontal="center"/>
      <protection/>
    </xf>
    <xf numFmtId="39" fontId="4" fillId="0" borderId="2" xfId="0" applyFont="1" applyBorder="1" applyAlignment="1" applyProtection="1">
      <alignment horizontal="center"/>
      <protection/>
    </xf>
    <xf numFmtId="39" fontId="4" fillId="0" borderId="0" xfId="0" applyFont="1" applyAlignment="1" applyProtection="1" quotePrefix="1">
      <alignment horizontal="left"/>
      <protection/>
    </xf>
    <xf numFmtId="39" fontId="4" fillId="0" borderId="0" xfId="0" applyFont="1" applyAlignment="1" applyProtection="1">
      <alignment/>
      <protection/>
    </xf>
    <xf numFmtId="39" fontId="4" fillId="0" borderId="6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>
      <alignment horizontal="center" vertical="center"/>
      <protection/>
    </xf>
    <xf numFmtId="39" fontId="4" fillId="0" borderId="4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 quotePrefix="1">
      <alignment horizontal="left" vertical="center"/>
      <protection/>
    </xf>
    <xf numFmtId="39" fontId="4" fillId="0" borderId="8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horizontal="center" vertical="top"/>
      <protection/>
    </xf>
    <xf numFmtId="39" fontId="4" fillId="0" borderId="5" xfId="0" applyFont="1" applyBorder="1" applyAlignment="1" applyProtection="1">
      <alignment horizontal="center" vertical="top"/>
      <protection/>
    </xf>
    <xf numFmtId="39" fontId="4" fillId="0" borderId="0" xfId="0" applyFont="1" applyAlignment="1" applyProtection="1" quotePrefix="1">
      <alignment horizontal="left" vertical="top"/>
      <protection/>
    </xf>
    <xf numFmtId="39" fontId="4" fillId="0" borderId="0" xfId="0" applyFont="1" applyAlignment="1" applyProtection="1">
      <alignment vertical="top"/>
      <protection/>
    </xf>
    <xf numFmtId="39" fontId="4" fillId="0" borderId="6" xfId="0" applyFont="1" applyBorder="1" applyAlignment="1" applyProtection="1">
      <alignment vertical="center"/>
      <protection/>
    </xf>
    <xf numFmtId="39" fontId="4" fillId="0" borderId="4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fill" vertical="center"/>
      <protection/>
    </xf>
    <xf numFmtId="39" fontId="4" fillId="0" borderId="4" xfId="0" applyFont="1" applyBorder="1" applyAlignment="1" applyProtection="1">
      <alignment horizontal="fill" vertical="center"/>
      <protection/>
    </xf>
    <xf numFmtId="39" fontId="4" fillId="0" borderId="6" xfId="0" applyFont="1" applyBorder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39" fontId="15" fillId="0" borderId="4" xfId="0" applyFont="1" applyBorder="1" applyAlignment="1" applyProtection="1">
      <alignment vertical="center"/>
      <protection/>
    </xf>
    <xf numFmtId="39" fontId="4" fillId="0" borderId="7" xfId="0" applyFont="1" applyBorder="1" applyAlignment="1" applyProtection="1">
      <alignment horizontal="fill" vertical="center"/>
      <protection/>
    </xf>
    <xf numFmtId="39" fontId="4" fillId="0" borderId="1" xfId="0" applyFont="1" applyBorder="1" applyAlignment="1" applyProtection="1">
      <alignment horizontal="fill" vertical="center"/>
      <protection/>
    </xf>
    <xf numFmtId="39" fontId="15" fillId="0" borderId="2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right" vertical="center"/>
      <protection/>
    </xf>
    <xf numFmtId="39" fontId="4" fillId="0" borderId="3" xfId="0" applyFont="1" applyBorder="1" applyAlignment="1" applyProtection="1">
      <alignment vertical="center"/>
      <protection/>
    </xf>
    <xf numFmtId="39" fontId="15" fillId="0" borderId="3" xfId="0" applyFont="1" applyBorder="1" applyAlignment="1" applyProtection="1">
      <alignment vertical="center"/>
      <protection/>
    </xf>
    <xf numFmtId="39" fontId="15" fillId="0" borderId="5" xfId="0" applyFont="1" applyBorder="1" applyAlignment="1" applyProtection="1">
      <alignment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1" xfId="0" applyFont="1" applyBorder="1" applyAlignment="1" applyProtection="1">
      <alignment horizontal="center"/>
      <protection/>
    </xf>
    <xf numFmtId="39" fontId="4" fillId="0" borderId="11" xfId="0" applyFont="1" applyBorder="1" applyAlignment="1" applyProtection="1">
      <alignment/>
      <protection/>
    </xf>
    <xf numFmtId="39" fontId="1" fillId="0" borderId="1" xfId="0" applyFont="1" applyBorder="1" applyAlignment="1" applyProtection="1">
      <alignment horizontal="left"/>
      <protection/>
    </xf>
    <xf numFmtId="39" fontId="1" fillId="0" borderId="1" xfId="0" applyFont="1" applyBorder="1" applyAlignment="1" applyProtection="1">
      <alignment/>
      <protection/>
    </xf>
    <xf numFmtId="39" fontId="4" fillId="0" borderId="2" xfId="0" applyFont="1" applyBorder="1" applyAlignment="1" applyProtection="1">
      <alignment/>
      <protection/>
    </xf>
    <xf numFmtId="39" fontId="4" fillId="0" borderId="12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/>
      <protection/>
    </xf>
    <xf numFmtId="39" fontId="4" fillId="0" borderId="4" xfId="0" applyFont="1" applyBorder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 vertical="center"/>
      <protection/>
    </xf>
    <xf numFmtId="39" fontId="4" fillId="0" borderId="8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>
      <alignment horizontal="fill" vertical="center"/>
      <protection/>
    </xf>
    <xf numFmtId="39" fontId="15" fillId="0" borderId="12" xfId="0" applyFont="1" applyBorder="1" applyAlignment="1" applyProtection="1">
      <alignment vertical="center"/>
      <protection/>
    </xf>
    <xf numFmtId="39" fontId="4" fillId="0" borderId="3" xfId="0" applyNumberFormat="1" applyFont="1" applyBorder="1" applyAlignment="1" applyProtection="1">
      <alignment vertical="center"/>
      <protection locked="0"/>
    </xf>
    <xf numFmtId="39" fontId="15" fillId="0" borderId="13" xfId="0" applyFont="1" applyBorder="1" applyAlignment="1" applyProtection="1">
      <alignment vertical="center"/>
      <protection/>
    </xf>
    <xf numFmtId="39" fontId="15" fillId="0" borderId="12" xfId="0" applyFont="1" applyBorder="1" applyAlignment="1" applyProtection="1">
      <alignment horizontal="fill" vertical="center"/>
      <protection/>
    </xf>
    <xf numFmtId="39" fontId="15" fillId="0" borderId="4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 locked="0"/>
    </xf>
    <xf numFmtId="39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4" fillId="0" borderId="8" xfId="0" applyNumberFormat="1" applyFont="1" applyBorder="1" applyAlignment="1" applyProtection="1">
      <alignment horizontal="center"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7" fillId="0" borderId="3" xfId="0" applyNumberFormat="1" applyFont="1" applyBorder="1" applyAlignment="1" applyProtection="1">
      <alignment vertical="center"/>
      <protection/>
    </xf>
    <xf numFmtId="40" fontId="7" fillId="0" borderId="5" xfId="0" applyNumberFormat="1" applyFont="1" applyBorder="1" applyAlignment="1" applyProtection="1">
      <alignment vertical="center"/>
      <protection/>
    </xf>
    <xf numFmtId="40" fontId="5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horizontal="right" vertical="center"/>
      <protection/>
    </xf>
    <xf numFmtId="40" fontId="6" fillId="0" borderId="4" xfId="0" applyNumberFormat="1" applyFont="1" applyBorder="1" applyAlignment="1" applyProtection="1">
      <alignment horizontal="right"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/>
    </xf>
    <xf numFmtId="40" fontId="6" fillId="0" borderId="5" xfId="0" applyNumberFormat="1" applyFont="1" applyBorder="1" applyAlignment="1" applyProtection="1">
      <alignment vertical="center"/>
      <protection/>
    </xf>
    <xf numFmtId="40" fontId="6" fillId="0" borderId="0" xfId="0" applyNumberFormat="1" applyFont="1" applyFill="1" applyAlignment="1" applyProtection="1">
      <alignment vertical="center"/>
      <protection locked="0"/>
    </xf>
    <xf numFmtId="40" fontId="7" fillId="0" borderId="10" xfId="0" applyNumberFormat="1" applyFont="1" applyBorder="1" applyAlignment="1" applyProtection="1">
      <alignment vertical="center"/>
      <protection/>
    </xf>
    <xf numFmtId="40" fontId="0" fillId="0" borderId="0" xfId="0" applyNumberFormat="1" applyAlignment="1" applyProtection="1">
      <alignment vertical="center"/>
      <protection locked="0"/>
    </xf>
    <xf numFmtId="40" fontId="0" fillId="0" borderId="0" xfId="0" applyNumberFormat="1" applyAlignment="1" applyProtection="1">
      <alignment vertical="center"/>
      <protection/>
    </xf>
    <xf numFmtId="40" fontId="9" fillId="0" borderId="0" xfId="0" applyNumberFormat="1" applyFont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vertical="center"/>
      <protection/>
    </xf>
    <xf numFmtId="39" fontId="16" fillId="0" borderId="0" xfId="0" applyFont="1" applyAlignment="1" applyProtection="1">
      <alignment vertical="center"/>
      <protection/>
    </xf>
    <xf numFmtId="39" fontId="15" fillId="0" borderId="3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39" fontId="9" fillId="0" borderId="4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/>
    </xf>
    <xf numFmtId="40" fontId="9" fillId="0" borderId="4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 locked="0"/>
    </xf>
    <xf numFmtId="40" fontId="9" fillId="0" borderId="4" xfId="0" applyNumberFormat="1" applyFont="1" applyBorder="1" applyAlignment="1" applyProtection="1">
      <alignment vertical="center"/>
      <protection locked="0"/>
    </xf>
    <xf numFmtId="40" fontId="9" fillId="0" borderId="3" xfId="0" applyNumberFormat="1" applyFont="1" applyBorder="1" applyAlignment="1" applyProtection="1">
      <alignment vertical="center"/>
      <protection locked="0"/>
    </xf>
    <xf numFmtId="40" fontId="9" fillId="0" borderId="5" xfId="0" applyNumberFormat="1" applyFont="1" applyBorder="1" applyAlignment="1" applyProtection="1">
      <alignment vertical="center"/>
      <protection locked="0"/>
    </xf>
    <xf numFmtId="40" fontId="7" fillId="0" borderId="14" xfId="0" applyNumberFormat="1" applyFont="1" applyBorder="1" applyAlignment="1" applyProtection="1">
      <alignment vertical="center"/>
      <protection/>
    </xf>
    <xf numFmtId="40" fontId="17" fillId="0" borderId="10" xfId="0" applyNumberFormat="1" applyFont="1" applyBorder="1" applyAlignment="1" applyProtection="1">
      <alignment vertical="center"/>
      <protection/>
    </xf>
    <xf numFmtId="40" fontId="17" fillId="0" borderId="14" xfId="0" applyNumberFormat="1" applyFont="1" applyBorder="1" applyAlignment="1" applyProtection="1">
      <alignment vertical="center"/>
      <protection/>
    </xf>
    <xf numFmtId="39" fontId="18" fillId="0" borderId="6" xfId="0" applyFont="1" applyBorder="1" applyAlignment="1" applyProtection="1">
      <alignment horizontal="left" vertical="center"/>
      <protection/>
    </xf>
    <xf numFmtId="39" fontId="4" fillId="0" borderId="0" xfId="0" applyFont="1" applyAlignment="1" applyProtection="1" quotePrefix="1">
      <alignment vertical="center"/>
      <protection locked="0"/>
    </xf>
    <xf numFmtId="169" fontId="4" fillId="0" borderId="6" xfId="0" applyNumberFormat="1" applyFont="1" applyBorder="1" applyAlignment="1" applyProtection="1" quotePrefix="1">
      <alignment horizontal="center" vertical="center"/>
      <protection locked="0"/>
    </xf>
    <xf numFmtId="39" fontId="4" fillId="0" borderId="0" xfId="0" applyFont="1" applyAlignment="1" applyProtection="1" quotePrefix="1">
      <alignment horizontal="center" vertical="center"/>
      <protection locked="0"/>
    </xf>
    <xf numFmtId="1" fontId="6" fillId="0" borderId="0" xfId="0" applyNumberFormat="1" applyFont="1" applyAlignment="1" applyProtection="1" quotePrefix="1">
      <alignment horizontal="left"/>
      <protection locked="0"/>
    </xf>
    <xf numFmtId="37" fontId="6" fillId="0" borderId="0" xfId="0" applyNumberFormat="1" applyFon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0" fontId="5" fillId="0" borderId="0" xfId="0" applyNumberFormat="1" applyFont="1" applyAlignment="1" applyProtection="1">
      <alignment horizontal="center" vertical="center"/>
      <protection locked="0"/>
    </xf>
    <xf numFmtId="40" fontId="0" fillId="0" borderId="0" xfId="0" applyNumberFormat="1" applyAlignment="1" applyProtection="1">
      <alignment horizontal="center" vertical="center"/>
      <protection locked="0"/>
    </xf>
    <xf numFmtId="174" fontId="5" fillId="0" borderId="0" xfId="0" applyNumberFormat="1" applyFont="1" applyAlignment="1" applyProtection="1">
      <alignment horizontal="center" vertical="center"/>
      <protection locked="0"/>
    </xf>
    <xf numFmtId="174" fontId="5" fillId="0" borderId="0" xfId="0" applyNumberFormat="1" applyFont="1" applyAlignment="1" applyProtection="1" quotePrefix="1">
      <alignment horizontal="center" vertical="center"/>
      <protection locked="0"/>
    </xf>
    <xf numFmtId="39" fontId="14" fillId="0" borderId="15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 horizontal="center"/>
      <protection/>
    </xf>
    <xf numFmtId="40" fontId="14" fillId="0" borderId="19" xfId="0" applyNumberFormat="1" applyFont="1" applyBorder="1" applyAlignment="1" applyProtection="1">
      <alignment horizontal="center"/>
      <protection/>
    </xf>
    <xf numFmtId="40" fontId="14" fillId="0" borderId="20" xfId="0" applyNumberFormat="1" applyFont="1" applyBorder="1" applyAlignment="1" applyProtection="1">
      <alignment horizontal="center"/>
      <protection/>
    </xf>
    <xf numFmtId="39" fontId="14" fillId="0" borderId="0" xfId="0" applyNumberFormat="1" applyFont="1" applyBorder="1" applyAlignment="1" applyProtection="1">
      <alignment horizontal="center"/>
      <protection/>
    </xf>
    <xf numFmtId="40" fontId="14" fillId="0" borderId="17" xfId="0" applyNumberFormat="1" applyFont="1" applyBorder="1" applyAlignment="1" applyProtection="1">
      <alignment horizontal="center"/>
      <protection/>
    </xf>
    <xf numFmtId="40" fontId="14" fillId="0" borderId="18" xfId="0" applyNumberFormat="1" applyFont="1" applyBorder="1" applyAlignment="1" applyProtection="1">
      <alignment horizontal="center"/>
      <protection/>
    </xf>
    <xf numFmtId="40" fontId="14" fillId="0" borderId="15" xfId="0" applyNumberFormat="1" applyFont="1" applyBorder="1" applyAlignment="1" applyProtection="1">
      <alignment horizontal="center"/>
      <protection/>
    </xf>
    <xf numFmtId="40" fontId="14" fillId="0" borderId="16" xfId="0" applyNumberFormat="1" applyFont="1" applyBorder="1" applyAlignment="1" applyProtection="1">
      <alignment horizont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13" fillId="0" borderId="21" xfId="0" applyFont="1" applyBorder="1" applyAlignment="1" applyProtection="1">
      <alignment horizontal="center"/>
      <protection/>
    </xf>
    <xf numFmtId="39" fontId="13" fillId="0" borderId="22" xfId="0" applyFont="1" applyBorder="1" applyAlignment="1" applyProtection="1">
      <alignment horizontal="center"/>
      <protection/>
    </xf>
    <xf numFmtId="39" fontId="13" fillId="0" borderId="15" xfId="0" applyFont="1" applyBorder="1" applyAlignment="1" applyProtection="1">
      <alignment horizontal="center" vertical="center"/>
      <protection/>
    </xf>
    <xf numFmtId="39" fontId="13" fillId="0" borderId="16" xfId="0" applyFont="1" applyBorder="1" applyAlignment="1" applyProtection="1">
      <alignment horizontal="center" vertical="center"/>
      <protection/>
    </xf>
    <xf numFmtId="39" fontId="13" fillId="0" borderId="15" xfId="0" applyFont="1" applyBorder="1" applyAlignment="1" applyProtection="1">
      <alignment horizontal="center" vertical="top"/>
      <protection/>
    </xf>
    <xf numFmtId="39" fontId="13" fillId="0" borderId="16" xfId="0" applyFont="1" applyBorder="1" applyAlignment="1" applyProtection="1">
      <alignment horizontal="center" vertical="top"/>
      <protection/>
    </xf>
    <xf numFmtId="39" fontId="14" fillId="0" borderId="21" xfId="0" applyNumberFormat="1" applyFont="1" applyBorder="1" applyAlignment="1" applyProtection="1">
      <alignment horizontal="center"/>
      <protection/>
    </xf>
    <xf numFmtId="39" fontId="14" fillId="0" borderId="22" xfId="0" applyNumberFormat="1" applyFont="1" applyBorder="1" applyAlignment="1" applyProtection="1">
      <alignment horizontal="center"/>
      <protection/>
    </xf>
    <xf numFmtId="40" fontId="14" fillId="0" borderId="23" xfId="0" applyNumberFormat="1" applyFont="1" applyBorder="1" applyAlignment="1" applyProtection="1">
      <alignment horizontal="center"/>
      <protection/>
    </xf>
    <xf numFmtId="40" fontId="14" fillId="0" borderId="24" xfId="0" applyNumberFormat="1" applyFont="1" applyBorder="1" applyAlignment="1" applyProtection="1">
      <alignment horizontal="center"/>
      <protection/>
    </xf>
    <xf numFmtId="40" fontId="14" fillId="0" borderId="25" xfId="0" applyNumberFormat="1" applyFont="1" applyBorder="1" applyAlignment="1" applyProtection="1">
      <alignment horizontal="center"/>
      <protection/>
    </xf>
    <xf numFmtId="40" fontId="14" fillId="0" borderId="26" xfId="0" applyNumberFormat="1" applyFont="1" applyBorder="1" applyAlignment="1" applyProtection="1">
      <alignment horizontal="center"/>
      <protection/>
    </xf>
    <xf numFmtId="40" fontId="14" fillId="0" borderId="27" xfId="0" applyNumberFormat="1" applyFont="1" applyBorder="1" applyAlignment="1" applyProtection="1">
      <alignment horizontal="center"/>
      <protection/>
    </xf>
    <xf numFmtId="40" fontId="14" fillId="0" borderId="28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48</xdr:row>
      <xdr:rowOff>85725</xdr:rowOff>
    </xdr:from>
    <xdr:to>
      <xdr:col>2</xdr:col>
      <xdr:colOff>38100</xdr:colOff>
      <xdr:row>48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514725" y="8772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3505200</xdr:colOff>
      <xdr:row>99</xdr:row>
      <xdr:rowOff>76200</xdr:rowOff>
    </xdr:from>
    <xdr:to>
      <xdr:col>2</xdr:col>
      <xdr:colOff>28575</xdr:colOff>
      <xdr:row>99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3505200" y="17992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3476625</xdr:colOff>
      <xdr:row>150</xdr:row>
      <xdr:rowOff>104775</xdr:rowOff>
    </xdr:from>
    <xdr:to>
      <xdr:col>2</xdr:col>
      <xdr:colOff>0</xdr:colOff>
      <xdr:row>150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3476625" y="27251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3514725</xdr:colOff>
      <xdr:row>201</xdr:row>
      <xdr:rowOff>104775</xdr:rowOff>
    </xdr:from>
    <xdr:to>
      <xdr:col>2</xdr:col>
      <xdr:colOff>38100</xdr:colOff>
      <xdr:row>201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3514725" y="36480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76200</xdr:rowOff>
    </xdr:from>
    <xdr:to>
      <xdr:col>2</xdr:col>
      <xdr:colOff>200025</xdr:colOff>
      <xdr:row>47</xdr:row>
      <xdr:rowOff>76200</xdr:rowOff>
    </xdr:to>
    <xdr:sp>
      <xdr:nvSpPr>
        <xdr:cNvPr id="1" name="Line 7"/>
        <xdr:cNvSpPr>
          <a:spLocks/>
        </xdr:cNvSpPr>
      </xdr:nvSpPr>
      <xdr:spPr>
        <a:xfrm>
          <a:off x="448627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2" name="Line 8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3" name="Line 9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209</xdr:row>
      <xdr:rowOff>76200</xdr:rowOff>
    </xdr:from>
    <xdr:to>
      <xdr:col>2</xdr:col>
      <xdr:colOff>200025</xdr:colOff>
      <xdr:row>209</xdr:row>
      <xdr:rowOff>76200</xdr:rowOff>
    </xdr:to>
    <xdr:sp>
      <xdr:nvSpPr>
        <xdr:cNvPr id="4" name="Line 10"/>
        <xdr:cNvSpPr>
          <a:spLocks/>
        </xdr:cNvSpPr>
      </xdr:nvSpPr>
      <xdr:spPr>
        <a:xfrm>
          <a:off x="4486275" y="37023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5" name="Line 11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6" name="Line 12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7" name="Line 13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31"/>
  <sheetViews>
    <sheetView showGridLines="0" tabSelected="1" zoomScale="75" zoomScaleNormal="75" workbookViewId="0" topLeftCell="A1">
      <selection activeCell="A2" sqref="A2"/>
    </sheetView>
  </sheetViews>
  <sheetFormatPr defaultColWidth="14.625" defaultRowHeight="18" customHeight="1"/>
  <cols>
    <col min="1" max="1" width="15.625" style="197" customWidth="1"/>
    <col min="2" max="2" width="16.375" style="197" customWidth="1"/>
    <col min="3" max="3" width="16.625" style="197" customWidth="1"/>
    <col min="4" max="4" width="18.25390625" style="197" customWidth="1"/>
    <col min="5" max="6" width="18.125" style="197" customWidth="1"/>
    <col min="7" max="7" width="19.25390625" style="197" customWidth="1"/>
    <col min="8" max="8" width="17.625" style="197" customWidth="1"/>
    <col min="9" max="9" width="19.625" style="197" customWidth="1"/>
    <col min="10" max="10" width="18.625" style="197" customWidth="1"/>
    <col min="11" max="16384" width="14.625" style="197" customWidth="1"/>
  </cols>
  <sheetData>
    <row r="1" spans="1:6" s="193" customFormat="1" ht="18" customHeight="1">
      <c r="A1" s="192" t="s">
        <v>0</v>
      </c>
      <c r="B1" s="192" t="s">
        <v>234</v>
      </c>
      <c r="D1" s="194"/>
      <c r="E1" s="192" t="s">
        <v>1</v>
      </c>
      <c r="F1" s="192" t="s">
        <v>235</v>
      </c>
    </row>
    <row r="2" spans="1:9" s="193" customFormat="1" ht="18" customHeight="1">
      <c r="A2" s="192"/>
      <c r="B2" s="195"/>
      <c r="D2" s="195"/>
      <c r="E2" s="192" t="s">
        <v>228</v>
      </c>
      <c r="F2" s="320" t="s">
        <v>236</v>
      </c>
      <c r="I2" s="196"/>
    </row>
    <row r="3" spans="1:6" ht="18" customHeight="1">
      <c r="A3" s="199"/>
      <c r="B3" s="199"/>
      <c r="C3" s="199"/>
      <c r="D3" s="199"/>
      <c r="E3" s="199"/>
      <c r="F3" s="199"/>
    </row>
    <row r="4" spans="1:7" s="205" customFormat="1" ht="18" customHeight="1">
      <c r="A4" s="200"/>
      <c r="B4" s="201"/>
      <c r="C4" s="202" t="s">
        <v>3</v>
      </c>
      <c r="D4" s="202" t="s">
        <v>4</v>
      </c>
      <c r="E4" s="202" t="s">
        <v>5</v>
      </c>
      <c r="F4" s="203" t="s">
        <v>3</v>
      </c>
      <c r="G4" s="204"/>
    </row>
    <row r="5" spans="1:7" ht="12" customHeight="1">
      <c r="A5" s="206" t="s">
        <v>6</v>
      </c>
      <c r="C5" s="207" t="s">
        <v>7</v>
      </c>
      <c r="D5" s="207" t="s">
        <v>8</v>
      </c>
      <c r="E5" s="207" t="s">
        <v>8</v>
      </c>
      <c r="F5" s="208" t="s">
        <v>9</v>
      </c>
      <c r="G5" s="209"/>
    </row>
    <row r="6" spans="1:7" s="215" customFormat="1" ht="18" customHeight="1">
      <c r="A6" s="210"/>
      <c r="B6" s="211"/>
      <c r="C6" s="212" t="s">
        <v>10</v>
      </c>
      <c r="D6" s="212" t="s">
        <v>11</v>
      </c>
      <c r="E6" s="212" t="s">
        <v>11</v>
      </c>
      <c r="F6" s="213" t="s">
        <v>10</v>
      </c>
      <c r="G6" s="214"/>
    </row>
    <row r="7" spans="1:7" ht="18" customHeight="1">
      <c r="A7" s="216"/>
      <c r="F7" s="217"/>
      <c r="G7" s="209"/>
    </row>
    <row r="8" spans="1:7" ht="16.5" customHeight="1">
      <c r="A8" s="218"/>
      <c r="B8" s="199"/>
      <c r="C8" s="199"/>
      <c r="D8" s="199"/>
      <c r="E8" s="199"/>
      <c r="F8" s="219"/>
      <c r="G8" s="209"/>
    </row>
    <row r="9" spans="1:7" ht="16.5" customHeight="1">
      <c r="A9" s="220" t="s">
        <v>12</v>
      </c>
      <c r="C9" s="221">
        <v>1000020</v>
      </c>
      <c r="D9" s="193">
        <v>37329.85</v>
      </c>
      <c r="E9" s="221">
        <v>0</v>
      </c>
      <c r="F9" s="222">
        <f aca="true" t="shared" si="0" ref="F9:F28">C9+D9-E9</f>
        <v>1037349.85</v>
      </c>
      <c r="G9" s="254"/>
    </row>
    <row r="10" spans="1:7" ht="16.5" customHeight="1">
      <c r="A10" s="220" t="s">
        <v>13</v>
      </c>
      <c r="C10" s="221">
        <v>0</v>
      </c>
      <c r="D10" s="193">
        <v>0</v>
      </c>
      <c r="E10" s="221">
        <v>0</v>
      </c>
      <c r="F10" s="222">
        <f t="shared" si="0"/>
        <v>0</v>
      </c>
      <c r="G10" s="254"/>
    </row>
    <row r="11" spans="1:7" ht="16.5" customHeight="1">
      <c r="A11" s="220" t="s">
        <v>14</v>
      </c>
      <c r="C11" s="221">
        <v>0</v>
      </c>
      <c r="D11" s="193">
        <v>0</v>
      </c>
      <c r="E11" s="221">
        <v>0</v>
      </c>
      <c r="F11" s="222">
        <f t="shared" si="0"/>
        <v>0</v>
      </c>
      <c r="G11" s="254"/>
    </row>
    <row r="12" spans="1:7" ht="16.5" customHeight="1">
      <c r="A12" s="216" t="s">
        <v>15</v>
      </c>
      <c r="C12" s="221">
        <v>0</v>
      </c>
      <c r="D12" s="193">
        <v>0</v>
      </c>
      <c r="E12" s="221">
        <v>0</v>
      </c>
      <c r="F12" s="222">
        <f t="shared" si="0"/>
        <v>0</v>
      </c>
      <c r="G12" s="254"/>
    </row>
    <row r="13" spans="1:7" ht="16.5" customHeight="1">
      <c r="A13" s="220" t="s">
        <v>16</v>
      </c>
      <c r="C13" s="221">
        <v>1250000</v>
      </c>
      <c r="D13" s="193">
        <v>19606.93</v>
      </c>
      <c r="E13" s="221">
        <v>0</v>
      </c>
      <c r="F13" s="222">
        <f t="shared" si="0"/>
        <v>1269606.93</v>
      </c>
      <c r="G13" s="254"/>
    </row>
    <row r="14" spans="1:7" ht="16.5" customHeight="1">
      <c r="A14" s="220" t="s">
        <v>17</v>
      </c>
      <c r="C14" s="221">
        <v>50000</v>
      </c>
      <c r="D14" s="193">
        <v>44.91</v>
      </c>
      <c r="E14" s="221">
        <v>0</v>
      </c>
      <c r="F14" s="222">
        <f t="shared" si="0"/>
        <v>50044.91</v>
      </c>
      <c r="G14" s="254"/>
    </row>
    <row r="15" spans="1:7" ht="16.5" customHeight="1">
      <c r="A15" s="220" t="s">
        <v>18</v>
      </c>
      <c r="C15" s="221">
        <v>220000</v>
      </c>
      <c r="D15" s="193">
        <v>17052.61</v>
      </c>
      <c r="E15" s="221">
        <v>0</v>
      </c>
      <c r="F15" s="222">
        <f t="shared" si="0"/>
        <v>237052.61</v>
      </c>
      <c r="G15" s="254"/>
    </row>
    <row r="16" spans="1:7" ht="16.5" customHeight="1">
      <c r="A16" s="220" t="s">
        <v>229</v>
      </c>
      <c r="C16" s="221">
        <v>0</v>
      </c>
      <c r="D16" s="193">
        <v>0</v>
      </c>
      <c r="E16" s="221">
        <v>0</v>
      </c>
      <c r="F16" s="222">
        <f t="shared" si="0"/>
        <v>0</v>
      </c>
      <c r="G16" s="254"/>
    </row>
    <row r="17" spans="1:7" ht="16.5" customHeight="1">
      <c r="A17" s="220" t="s">
        <v>19</v>
      </c>
      <c r="C17" s="221">
        <v>0</v>
      </c>
      <c r="D17" s="193">
        <v>0</v>
      </c>
      <c r="E17" s="221">
        <v>0</v>
      </c>
      <c r="F17" s="222">
        <f t="shared" si="0"/>
        <v>0</v>
      </c>
      <c r="G17" s="254"/>
    </row>
    <row r="18" spans="1:7" ht="16.5" customHeight="1">
      <c r="A18" s="220" t="s">
        <v>219</v>
      </c>
      <c r="C18" s="221">
        <v>6000000</v>
      </c>
      <c r="D18" s="193">
        <v>1077742.83</v>
      </c>
      <c r="E18" s="221">
        <v>0</v>
      </c>
      <c r="F18" s="222">
        <f aca="true" t="shared" si="1" ref="F18:F23">C18+D18-E18</f>
        <v>7077742.83</v>
      </c>
      <c r="G18" s="254"/>
    </row>
    <row r="19" spans="1:7" ht="16.5" customHeight="1">
      <c r="A19" s="220" t="s">
        <v>220</v>
      </c>
      <c r="C19" s="221">
        <v>0</v>
      </c>
      <c r="D19" s="193">
        <v>0</v>
      </c>
      <c r="E19" s="221">
        <v>0</v>
      </c>
      <c r="F19" s="222">
        <f t="shared" si="1"/>
        <v>0</v>
      </c>
      <c r="G19" s="254"/>
    </row>
    <row r="20" spans="1:7" ht="16.5" customHeight="1">
      <c r="A20" s="220" t="s">
        <v>221</v>
      </c>
      <c r="C20" s="221">
        <v>1280000</v>
      </c>
      <c r="D20" s="193">
        <v>0</v>
      </c>
      <c r="E20" s="221">
        <v>0</v>
      </c>
      <c r="F20" s="222">
        <f t="shared" si="1"/>
        <v>1280000</v>
      </c>
      <c r="G20" s="254"/>
    </row>
    <row r="21" spans="1:7" ht="16.5" customHeight="1">
      <c r="A21" s="220" t="s">
        <v>222</v>
      </c>
      <c r="C21" s="221">
        <v>0</v>
      </c>
      <c r="D21" s="193">
        <v>0</v>
      </c>
      <c r="E21" s="221">
        <v>0</v>
      </c>
      <c r="F21" s="222">
        <f t="shared" si="1"/>
        <v>0</v>
      </c>
      <c r="G21" s="254"/>
    </row>
    <row r="22" spans="1:7" ht="16.5" customHeight="1">
      <c r="A22" s="220" t="s">
        <v>226</v>
      </c>
      <c r="C22" s="221">
        <v>0</v>
      </c>
      <c r="D22" s="193">
        <v>0</v>
      </c>
      <c r="E22" s="221">
        <v>0</v>
      </c>
      <c r="F22" s="222">
        <f>C22+D22-E22</f>
        <v>0</v>
      </c>
      <c r="G22" s="254"/>
    </row>
    <row r="23" spans="1:7" ht="16.5" customHeight="1">
      <c r="A23" s="220" t="s">
        <v>223</v>
      </c>
      <c r="C23" s="221">
        <v>0</v>
      </c>
      <c r="D23" s="193">
        <v>0</v>
      </c>
      <c r="E23" s="221">
        <v>0</v>
      </c>
      <c r="F23" s="222">
        <f t="shared" si="1"/>
        <v>0</v>
      </c>
      <c r="G23" s="254"/>
    </row>
    <row r="24" spans="1:7" ht="16.5" customHeight="1">
      <c r="A24" s="220" t="s">
        <v>20</v>
      </c>
      <c r="C24" s="221">
        <v>0</v>
      </c>
      <c r="D24" s="193">
        <v>0</v>
      </c>
      <c r="E24" s="221">
        <v>0</v>
      </c>
      <c r="F24" s="222">
        <f t="shared" si="0"/>
        <v>0</v>
      </c>
      <c r="G24" s="254"/>
    </row>
    <row r="25" spans="1:7" ht="16.5" customHeight="1">
      <c r="A25" s="220" t="s">
        <v>224</v>
      </c>
      <c r="C25" s="221">
        <v>0</v>
      </c>
      <c r="D25" s="193">
        <v>0</v>
      </c>
      <c r="E25" s="221">
        <v>0</v>
      </c>
      <c r="F25" s="222">
        <f t="shared" si="0"/>
        <v>0</v>
      </c>
      <c r="G25" s="254"/>
    </row>
    <row r="26" spans="1:7" ht="16.5" customHeight="1">
      <c r="A26" s="220" t="s">
        <v>225</v>
      </c>
      <c r="C26" s="221">
        <v>0</v>
      </c>
      <c r="D26" s="193">
        <v>0</v>
      </c>
      <c r="E26" s="221">
        <v>0</v>
      </c>
      <c r="F26" s="222">
        <f>C26+D26-E26</f>
        <v>0</v>
      </c>
      <c r="G26" s="254"/>
    </row>
    <row r="27" spans="1:7" ht="16.5" customHeight="1">
      <c r="A27" s="220" t="s">
        <v>186</v>
      </c>
      <c r="C27" s="221">
        <v>0</v>
      </c>
      <c r="D27" s="193">
        <v>0</v>
      </c>
      <c r="E27" s="221">
        <v>0</v>
      </c>
      <c r="F27" s="222">
        <f t="shared" si="0"/>
        <v>0</v>
      </c>
      <c r="G27" s="254"/>
    </row>
    <row r="28" spans="1:7" ht="16.5" customHeight="1">
      <c r="A28" s="220" t="s">
        <v>21</v>
      </c>
      <c r="C28" s="221">
        <v>0</v>
      </c>
      <c r="D28" s="193">
        <v>4502114.99</v>
      </c>
      <c r="E28" s="221">
        <v>0</v>
      </c>
      <c r="F28" s="222">
        <f t="shared" si="0"/>
        <v>4502114.99</v>
      </c>
      <c r="G28" s="254"/>
    </row>
    <row r="29" spans="1:7" ht="16.5" customHeight="1">
      <c r="A29" s="220" t="s">
        <v>230</v>
      </c>
      <c r="C29" s="221">
        <v>0</v>
      </c>
      <c r="D29" s="193">
        <v>0</v>
      </c>
      <c r="E29" s="221">
        <v>0</v>
      </c>
      <c r="F29" s="222">
        <f>C29+D29-E29</f>
        <v>0</v>
      </c>
      <c r="G29" s="254"/>
    </row>
    <row r="30" spans="1:7" ht="16.5" customHeight="1">
      <c r="A30" s="220" t="s">
        <v>227</v>
      </c>
      <c r="C30" s="221">
        <v>0</v>
      </c>
      <c r="D30" s="193">
        <v>0</v>
      </c>
      <c r="E30" s="221">
        <v>0</v>
      </c>
      <c r="F30" s="222">
        <f>C30+D30-E30</f>
        <v>0</v>
      </c>
      <c r="G30" s="254"/>
    </row>
    <row r="31" spans="1:7" ht="16.5" customHeight="1">
      <c r="A31" s="223"/>
      <c r="B31" s="224"/>
      <c r="C31" s="224"/>
      <c r="D31" s="224"/>
      <c r="E31" s="224"/>
      <c r="F31" s="225"/>
      <c r="G31" s="209"/>
    </row>
    <row r="32" spans="1:7" ht="16.5" customHeight="1">
      <c r="A32" s="226" t="s">
        <v>22</v>
      </c>
      <c r="B32" s="227"/>
      <c r="C32" s="228">
        <f>SUM(C9:C30)</f>
        <v>9800020</v>
      </c>
      <c r="D32" s="228">
        <f>SUM(D9:D30)</f>
        <v>5653892.12</v>
      </c>
      <c r="E32" s="228">
        <f>SUM(E9:E30)</f>
        <v>0</v>
      </c>
      <c r="F32" s="229">
        <f>SUM(F9:F30)</f>
        <v>15453912.12</v>
      </c>
      <c r="G32" s="209"/>
    </row>
    <row r="33" spans="1:6" ht="16.5" customHeight="1">
      <c r="A33" s="199"/>
      <c r="B33" s="199"/>
      <c r="C33" s="199"/>
      <c r="D33" s="199"/>
      <c r="E33" s="199"/>
      <c r="F33" s="199"/>
    </row>
    <row r="34" ht="16.5" customHeight="1">
      <c r="E34" s="230" t="s">
        <v>23</v>
      </c>
    </row>
    <row r="35" spans="1:9" ht="16.5" customHeight="1">
      <c r="A35" s="199"/>
      <c r="B35" s="199"/>
      <c r="C35" s="199"/>
      <c r="D35" s="199"/>
      <c r="E35" s="199"/>
      <c r="F35" s="199"/>
      <c r="G35" s="199"/>
      <c r="H35" s="199"/>
      <c r="I35" s="199"/>
    </row>
    <row r="36" ht="16.5" customHeight="1"/>
    <row r="37" spans="1:9" s="205" customFormat="1" ht="16.5" customHeight="1">
      <c r="A37" s="200"/>
      <c r="B37" s="201"/>
      <c r="C37" s="231" t="s">
        <v>24</v>
      </c>
      <c r="D37" s="201"/>
      <c r="E37" s="232"/>
      <c r="F37" s="201"/>
      <c r="G37" s="233" t="s">
        <v>25</v>
      </c>
      <c r="H37" s="234" t="s">
        <v>26</v>
      </c>
      <c r="I37" s="235"/>
    </row>
    <row r="38" spans="1:9" ht="16.5" customHeight="1">
      <c r="A38" s="216"/>
      <c r="E38" s="236"/>
      <c r="I38" s="217"/>
    </row>
    <row r="39" spans="1:9" s="205" customFormat="1" ht="16.5" customHeight="1">
      <c r="A39" s="237" t="s">
        <v>27</v>
      </c>
      <c r="B39" s="238" t="s">
        <v>28</v>
      </c>
      <c r="C39" s="238" t="s">
        <v>29</v>
      </c>
      <c r="D39" s="238" t="s">
        <v>29</v>
      </c>
      <c r="E39" s="239" t="s">
        <v>30</v>
      </c>
      <c r="F39" s="238" t="s">
        <v>31</v>
      </c>
      <c r="G39" s="238" t="s">
        <v>32</v>
      </c>
      <c r="H39" s="238" t="s">
        <v>32</v>
      </c>
      <c r="I39" s="240" t="s">
        <v>30</v>
      </c>
    </row>
    <row r="40" spans="1:9" ht="16.5" customHeight="1">
      <c r="A40" s="206" t="s">
        <v>33</v>
      </c>
      <c r="B40" s="207" t="s">
        <v>34</v>
      </c>
      <c r="C40" s="207" t="s">
        <v>35</v>
      </c>
      <c r="D40" s="207" t="s">
        <v>36</v>
      </c>
      <c r="E40" s="241" t="s">
        <v>37</v>
      </c>
      <c r="F40" s="207" t="s">
        <v>38</v>
      </c>
      <c r="G40" s="207" t="s">
        <v>35</v>
      </c>
      <c r="H40" s="207" t="s">
        <v>39</v>
      </c>
      <c r="I40" s="208" t="s">
        <v>37</v>
      </c>
    </row>
    <row r="41" spans="1:9" s="215" customFormat="1" ht="16.5" customHeight="1">
      <c r="A41" s="242" t="s">
        <v>40</v>
      </c>
      <c r="B41" s="212" t="s">
        <v>41</v>
      </c>
      <c r="C41" s="212" t="s">
        <v>42</v>
      </c>
      <c r="D41" s="212" t="s">
        <v>27</v>
      </c>
      <c r="E41" s="243" t="s">
        <v>43</v>
      </c>
      <c r="F41" s="212" t="s">
        <v>40</v>
      </c>
      <c r="G41" s="212" t="s">
        <v>42</v>
      </c>
      <c r="H41" s="212" t="s">
        <v>27</v>
      </c>
      <c r="I41" s="213" t="s">
        <v>43</v>
      </c>
    </row>
    <row r="42" spans="1:9" ht="16.5" customHeight="1">
      <c r="A42" s="218"/>
      <c r="B42" s="199"/>
      <c r="C42" s="199"/>
      <c r="D42" s="199"/>
      <c r="E42" s="244"/>
      <c r="F42" s="199"/>
      <c r="G42" s="199"/>
      <c r="H42" s="199"/>
      <c r="I42" s="219"/>
    </row>
    <row r="43" spans="1:9" ht="16.5" customHeight="1">
      <c r="A43" s="321" t="s">
        <v>237</v>
      </c>
      <c r="B43" s="221">
        <v>2455000</v>
      </c>
      <c r="C43" s="193">
        <v>0</v>
      </c>
      <c r="D43" s="193">
        <f>1905000+550000</f>
        <v>2455000</v>
      </c>
      <c r="E43" s="245">
        <f>B43-D43</f>
        <v>0</v>
      </c>
      <c r="F43" s="221">
        <f>483459.17-59725</f>
        <v>423734.17</v>
      </c>
      <c r="G43" s="221">
        <v>0</v>
      </c>
      <c r="H43" s="221">
        <v>423734.17</v>
      </c>
      <c r="I43" s="222">
        <f>F43-H43</f>
        <v>0</v>
      </c>
    </row>
    <row r="44" spans="1:9" ht="16.5" customHeight="1">
      <c r="A44" s="321" t="s">
        <v>238</v>
      </c>
      <c r="B44" s="221">
        <v>4700000</v>
      </c>
      <c r="C44" s="193">
        <v>0</v>
      </c>
      <c r="D44" s="193">
        <f>3225000+300000</f>
        <v>3525000</v>
      </c>
      <c r="E44" s="245">
        <f>B44-D44</f>
        <v>1175000</v>
      </c>
      <c r="F44" s="221">
        <v>1007011.46</v>
      </c>
      <c r="G44" s="221">
        <v>26437.5</v>
      </c>
      <c r="H44" s="221">
        <f>838823.96+33187.5+26437.5</f>
        <v>898448.96</v>
      </c>
      <c r="I44" s="222">
        <f>F44-H44</f>
        <v>108562.5</v>
      </c>
    </row>
    <row r="45" spans="1:9" ht="16.5" customHeight="1">
      <c r="A45" s="321" t="s">
        <v>239</v>
      </c>
      <c r="B45" s="221">
        <v>4925000</v>
      </c>
      <c r="C45" s="221">
        <v>0</v>
      </c>
      <c r="D45" s="221">
        <f>3200000+200000</f>
        <v>3400000</v>
      </c>
      <c r="E45" s="245">
        <f>B45-D45</f>
        <v>1525000</v>
      </c>
      <c r="F45" s="221">
        <v>961682.29</v>
      </c>
      <c r="G45" s="221">
        <v>34193.75</v>
      </c>
      <c r="H45" s="221">
        <f>682088.54+38393.75+34193.75</f>
        <v>754676.04</v>
      </c>
      <c r="I45" s="222">
        <f>F45-H45</f>
        <v>207006.25</v>
      </c>
    </row>
    <row r="46" spans="1:9" ht="16.5" customHeight="1">
      <c r="A46" s="321" t="s">
        <v>240</v>
      </c>
      <c r="B46" s="221">
        <v>5375000</v>
      </c>
      <c r="C46" s="221">
        <v>0</v>
      </c>
      <c r="D46" s="221">
        <f>2325000+250000</f>
        <v>2575000</v>
      </c>
      <c r="E46" s="245">
        <f>B46-D46</f>
        <v>2800000</v>
      </c>
      <c r="F46" s="221">
        <v>1392379.17</v>
      </c>
      <c r="G46" s="221">
        <v>65200</v>
      </c>
      <c r="H46" s="221">
        <f>875579.17+70700+65200</f>
        <v>1011479.17</v>
      </c>
      <c r="I46" s="222">
        <f>F46-H46</f>
        <v>380900</v>
      </c>
    </row>
    <row r="47" spans="1:9" ht="16.5" customHeight="1">
      <c r="A47" s="321" t="s">
        <v>241</v>
      </c>
      <c r="B47" s="221">
        <v>6000000</v>
      </c>
      <c r="C47" s="221">
        <v>0</v>
      </c>
      <c r="D47" s="221">
        <f>2650000+350000</f>
        <v>3000000</v>
      </c>
      <c r="E47" s="245">
        <f aca="true" t="shared" si="2" ref="E47:E55">B47-D47</f>
        <v>3000000</v>
      </c>
      <c r="F47" s="221">
        <v>1344338.54</v>
      </c>
      <c r="G47" s="221">
        <v>67300</v>
      </c>
      <c r="H47" s="221">
        <f>726582.29+74956.25+67300</f>
        <v>868838.54</v>
      </c>
      <c r="I47" s="222">
        <f aca="true" t="shared" si="3" ref="I47:I55">F47-H47</f>
        <v>475500</v>
      </c>
    </row>
    <row r="48" spans="1:9" ht="16.5" customHeight="1">
      <c r="A48" s="321" t="s">
        <v>242</v>
      </c>
      <c r="B48" s="221">
        <v>4350000</v>
      </c>
      <c r="C48" s="221">
        <v>0</v>
      </c>
      <c r="D48" s="221">
        <f>2250000+500000</f>
        <v>2750000</v>
      </c>
      <c r="E48" s="245">
        <f t="shared" si="2"/>
        <v>1600000</v>
      </c>
      <c r="F48" s="221">
        <v>609462.5</v>
      </c>
      <c r="G48" s="221">
        <v>31056.25</v>
      </c>
      <c r="H48" s="221">
        <f>295281.25+39806.25+31056.25</f>
        <v>366143.75</v>
      </c>
      <c r="I48" s="222">
        <f t="shared" si="3"/>
        <v>243318.75</v>
      </c>
    </row>
    <row r="49" spans="1:9" ht="16.5" customHeight="1">
      <c r="A49" s="321" t="s">
        <v>243</v>
      </c>
      <c r="B49" s="221">
        <v>8770000</v>
      </c>
      <c r="C49" s="221">
        <v>0</v>
      </c>
      <c r="D49" s="221">
        <f>3570000+1000000</f>
        <v>4570000</v>
      </c>
      <c r="E49" s="245">
        <f t="shared" si="2"/>
        <v>4200000</v>
      </c>
      <c r="F49" s="221">
        <v>1108688.11</v>
      </c>
      <c r="G49" s="221">
        <v>88500</v>
      </c>
      <c r="H49" s="221">
        <f>467186.11+113500+88500</f>
        <v>669186.11</v>
      </c>
      <c r="I49" s="222">
        <f t="shared" si="3"/>
        <v>439502</v>
      </c>
    </row>
    <row r="50" spans="1:9" ht="16.5" customHeight="1">
      <c r="A50" s="321" t="s">
        <v>244</v>
      </c>
      <c r="B50" s="221">
        <v>9800000</v>
      </c>
      <c r="C50" s="221">
        <v>0</v>
      </c>
      <c r="D50" s="221">
        <f>2900000</f>
        <v>2900000</v>
      </c>
      <c r="E50" s="245">
        <f t="shared" si="2"/>
        <v>6900000</v>
      </c>
      <c r="F50" s="221">
        <v>1182337.5</v>
      </c>
      <c r="G50" s="221">
        <v>100800</v>
      </c>
      <c r="H50" s="221">
        <f>102787.5+137050+100800</f>
        <v>340637.5</v>
      </c>
      <c r="I50" s="222">
        <f t="shared" si="3"/>
        <v>841700</v>
      </c>
    </row>
    <row r="51" spans="1:9" ht="16.5" customHeight="1">
      <c r="A51" s="321" t="s">
        <v>251</v>
      </c>
      <c r="B51" s="221">
        <v>8000000</v>
      </c>
      <c r="C51" s="221">
        <v>0</v>
      </c>
      <c r="D51" s="221">
        <v>0</v>
      </c>
      <c r="E51" s="245">
        <f t="shared" si="2"/>
        <v>8000000</v>
      </c>
      <c r="F51" s="221">
        <v>853333.33</v>
      </c>
      <c r="G51" s="221">
        <v>75321.5</v>
      </c>
      <c r="H51" s="221">
        <f>75321.5</f>
        <v>75321.5</v>
      </c>
      <c r="I51" s="222">
        <f t="shared" si="3"/>
        <v>778011.83</v>
      </c>
    </row>
    <row r="52" spans="1:9" ht="16.5" customHeight="1">
      <c r="A52" s="261" t="s">
        <v>44</v>
      </c>
      <c r="B52" s="221">
        <v>0</v>
      </c>
      <c r="C52" s="221">
        <v>0</v>
      </c>
      <c r="D52" s="221">
        <v>0</v>
      </c>
      <c r="E52" s="245">
        <f t="shared" si="2"/>
        <v>0</v>
      </c>
      <c r="F52" s="221">
        <v>0</v>
      </c>
      <c r="G52" s="221">
        <v>0</v>
      </c>
      <c r="H52" s="221">
        <v>0</v>
      </c>
      <c r="I52" s="222">
        <f t="shared" si="3"/>
        <v>0</v>
      </c>
    </row>
    <row r="53" spans="1:9" ht="16.5" customHeight="1">
      <c r="A53" s="261" t="s">
        <v>44</v>
      </c>
      <c r="B53" s="221">
        <v>0</v>
      </c>
      <c r="C53" s="221">
        <v>0</v>
      </c>
      <c r="D53" s="221">
        <v>0</v>
      </c>
      <c r="E53" s="245">
        <f>B53-D53</f>
        <v>0</v>
      </c>
      <c r="F53" s="221">
        <v>0</v>
      </c>
      <c r="G53" s="221">
        <v>0</v>
      </c>
      <c r="H53" s="221">
        <v>0</v>
      </c>
      <c r="I53" s="222">
        <f>F53-H53</f>
        <v>0</v>
      </c>
    </row>
    <row r="54" spans="1:9" ht="16.5" customHeight="1">
      <c r="A54" s="261" t="s">
        <v>44</v>
      </c>
      <c r="B54" s="221">
        <v>0</v>
      </c>
      <c r="C54" s="221">
        <v>0</v>
      </c>
      <c r="D54" s="221">
        <v>0</v>
      </c>
      <c r="E54" s="245">
        <f>B54-D54</f>
        <v>0</v>
      </c>
      <c r="F54" s="221">
        <v>0</v>
      </c>
      <c r="G54" s="221">
        <v>0</v>
      </c>
      <c r="H54" s="221">
        <v>0</v>
      </c>
      <c r="I54" s="222">
        <f>F54-H54</f>
        <v>0</v>
      </c>
    </row>
    <row r="55" spans="1:9" ht="16.5" customHeight="1">
      <c r="A55" s="261" t="s">
        <v>44</v>
      </c>
      <c r="B55" s="221">
        <v>0</v>
      </c>
      <c r="C55" s="221">
        <v>0</v>
      </c>
      <c r="D55" s="221">
        <v>0</v>
      </c>
      <c r="E55" s="245">
        <f t="shared" si="2"/>
        <v>0</v>
      </c>
      <c r="F55" s="221">
        <v>0</v>
      </c>
      <c r="G55" s="221">
        <v>0</v>
      </c>
      <c r="H55" s="221">
        <v>0</v>
      </c>
      <c r="I55" s="222">
        <f t="shared" si="3"/>
        <v>0</v>
      </c>
    </row>
    <row r="56" spans="1:9" ht="16.5" customHeight="1">
      <c r="A56" s="262" t="s">
        <v>44</v>
      </c>
      <c r="B56" s="246">
        <v>0</v>
      </c>
      <c r="C56" s="246">
        <v>0</v>
      </c>
      <c r="D56" s="246">
        <v>0</v>
      </c>
      <c r="E56" s="247">
        <f>B56-D56</f>
        <v>0</v>
      </c>
      <c r="F56" s="246">
        <v>0</v>
      </c>
      <c r="G56" s="246">
        <v>0</v>
      </c>
      <c r="H56" s="246">
        <v>0</v>
      </c>
      <c r="I56" s="229">
        <f>F56-H56</f>
        <v>0</v>
      </c>
    </row>
    <row r="57" spans="1:9" ht="11.25" customHeight="1">
      <c r="A57" s="218"/>
      <c r="B57" s="199"/>
      <c r="C57" s="199"/>
      <c r="D57" s="199"/>
      <c r="E57" s="248"/>
      <c r="F57" s="199"/>
      <c r="G57" s="199"/>
      <c r="H57" s="199"/>
      <c r="I57" s="249"/>
    </row>
    <row r="58" spans="1:9" ht="18" customHeight="1">
      <c r="A58" s="250" t="s">
        <v>22</v>
      </c>
      <c r="B58" s="305">
        <f aca="true" t="shared" si="4" ref="B58:I58">SUM(B43:B56)</f>
        <v>54375000</v>
      </c>
      <c r="C58" s="228">
        <f t="shared" si="4"/>
        <v>0</v>
      </c>
      <c r="D58" s="228">
        <f t="shared" si="4"/>
        <v>25175000</v>
      </c>
      <c r="E58" s="247">
        <f t="shared" si="4"/>
        <v>29200000</v>
      </c>
      <c r="F58" s="305">
        <f t="shared" si="4"/>
        <v>8882967.07</v>
      </c>
      <c r="G58" s="228">
        <f t="shared" si="4"/>
        <v>488809</v>
      </c>
      <c r="H58" s="228">
        <f t="shared" si="4"/>
        <v>5408465.74</v>
      </c>
      <c r="I58" s="229">
        <f t="shared" si="4"/>
        <v>3474501.33</v>
      </c>
    </row>
    <row r="59" spans="1:9" ht="18" customHeight="1">
      <c r="A59" s="251"/>
      <c r="B59" s="252"/>
      <c r="C59" s="252"/>
      <c r="D59" s="252"/>
      <c r="E59" s="252"/>
      <c r="F59" s="252"/>
      <c r="G59" s="252"/>
      <c r="H59" s="252"/>
      <c r="I59" s="252"/>
    </row>
    <row r="60" spans="1:9" ht="18" customHeight="1">
      <c r="A60" s="253" t="s">
        <v>45</v>
      </c>
      <c r="B60" s="322"/>
      <c r="C60" s="193"/>
      <c r="D60" s="193"/>
      <c r="E60" s="193"/>
      <c r="F60" s="193"/>
      <c r="G60" s="193"/>
      <c r="H60" s="193"/>
      <c r="I60" s="193"/>
    </row>
    <row r="61" spans="1:9" ht="13.5" customHeight="1">
      <c r="A61" s="193"/>
      <c r="B61" s="320"/>
      <c r="C61" s="193"/>
      <c r="D61" s="193"/>
      <c r="E61" s="193"/>
      <c r="F61" s="193"/>
      <c r="G61" s="193"/>
      <c r="H61" s="193"/>
      <c r="I61" s="193"/>
    </row>
    <row r="62" spans="1:9" ht="13.5" customHeight="1">
      <c r="A62" s="193"/>
      <c r="B62" s="193"/>
      <c r="C62" s="193"/>
      <c r="D62" s="193"/>
      <c r="E62" s="193"/>
      <c r="F62" s="193"/>
      <c r="G62" s="193"/>
      <c r="H62" s="193"/>
      <c r="I62" s="193"/>
    </row>
    <row r="63" spans="1:9" ht="13.5" customHeight="1">
      <c r="A63" s="193"/>
      <c r="B63" s="193"/>
      <c r="C63" s="193"/>
      <c r="D63" s="193"/>
      <c r="E63" s="193"/>
      <c r="F63" s="193"/>
      <c r="G63" s="193"/>
      <c r="H63" s="193"/>
      <c r="I63" s="193"/>
    </row>
    <row r="64" spans="1:9" ht="13.5" customHeight="1">
      <c r="A64" s="193"/>
      <c r="B64" s="193"/>
      <c r="C64" s="193"/>
      <c r="D64" s="193"/>
      <c r="E64" s="193"/>
      <c r="F64" s="193"/>
      <c r="G64" s="193"/>
      <c r="H64" s="193"/>
      <c r="I64" s="193"/>
    </row>
    <row r="65" spans="1:9" ht="13.5" customHeight="1">
      <c r="A65" s="193"/>
      <c r="B65" s="193"/>
      <c r="C65" s="193"/>
      <c r="D65" s="193"/>
      <c r="E65" s="193"/>
      <c r="F65" s="193"/>
      <c r="G65" s="193"/>
      <c r="H65" s="193"/>
      <c r="I65" s="193"/>
    </row>
    <row r="66" ht="13.5" customHeight="1"/>
    <row r="67" ht="13.5" customHeight="1"/>
    <row r="78" spans="10:13" ht="18" customHeight="1">
      <c r="J78" s="254" t="s">
        <v>46</v>
      </c>
      <c r="M78" s="197" t="e">
        <f>#REF!</f>
        <v>#REF!</v>
      </c>
    </row>
    <row r="80" ht="18" customHeight="1">
      <c r="K80" s="254" t="s">
        <v>47</v>
      </c>
    </row>
    <row r="82" ht="18" customHeight="1">
      <c r="J82" s="207" t="s">
        <v>48</v>
      </c>
    </row>
    <row r="83" ht="18" customHeight="1">
      <c r="J83" s="207" t="s">
        <v>49</v>
      </c>
    </row>
    <row r="86" spans="10:14" ht="18" customHeight="1">
      <c r="J86" s="198" t="s">
        <v>50</v>
      </c>
      <c r="K86" s="254" t="s">
        <v>51</v>
      </c>
      <c r="L86" s="207" t="s">
        <v>52</v>
      </c>
      <c r="N86" s="255"/>
    </row>
    <row r="87" spans="12:14" ht="18" customHeight="1">
      <c r="L87" s="254" t="s">
        <v>53</v>
      </c>
      <c r="N87" s="255"/>
    </row>
    <row r="89" spans="10:14" ht="18" customHeight="1">
      <c r="J89" s="198" t="s">
        <v>50</v>
      </c>
      <c r="K89" s="254" t="s">
        <v>54</v>
      </c>
      <c r="L89" s="254" t="s">
        <v>55</v>
      </c>
      <c r="N89" s="255"/>
    </row>
    <row r="90" ht="18" customHeight="1">
      <c r="N90" s="255"/>
    </row>
    <row r="91" spans="10:14" ht="18" customHeight="1">
      <c r="J91" s="198" t="s">
        <v>50</v>
      </c>
      <c r="K91" s="254" t="s">
        <v>56</v>
      </c>
      <c r="L91" s="207" t="s">
        <v>57</v>
      </c>
      <c r="N91" s="255"/>
    </row>
    <row r="92" ht="18" customHeight="1">
      <c r="L92" s="254" t="s">
        <v>58</v>
      </c>
    </row>
    <row r="93" spans="12:14" ht="18" customHeight="1">
      <c r="L93" s="254" t="s">
        <v>59</v>
      </c>
      <c r="N93" s="255"/>
    </row>
    <row r="94" ht="18" customHeight="1">
      <c r="N94" s="255"/>
    </row>
    <row r="95" spans="10:14" ht="18" customHeight="1">
      <c r="J95" s="198" t="s">
        <v>50</v>
      </c>
      <c r="K95" s="254" t="s">
        <v>60</v>
      </c>
      <c r="L95" s="207" t="s">
        <v>61</v>
      </c>
      <c r="N95" s="255"/>
    </row>
    <row r="96" ht="18" customHeight="1">
      <c r="N96" s="255"/>
    </row>
    <row r="97" spans="10:12" ht="18" customHeight="1">
      <c r="J97" s="198" t="s">
        <v>50</v>
      </c>
      <c r="K97" s="254" t="s">
        <v>62</v>
      </c>
      <c r="L97" s="254" t="s">
        <v>63</v>
      </c>
    </row>
    <row r="99" spans="10:14" ht="18" customHeight="1">
      <c r="J99" s="198" t="s">
        <v>50</v>
      </c>
      <c r="K99" s="254" t="s">
        <v>64</v>
      </c>
      <c r="L99" s="254" t="s">
        <v>63</v>
      </c>
      <c r="N99" s="255"/>
    </row>
    <row r="100" ht="18" customHeight="1">
      <c r="N100" s="255"/>
    </row>
    <row r="102" ht="18" customHeight="1">
      <c r="L102" s="254" t="s">
        <v>65</v>
      </c>
    </row>
    <row r="731" ht="18" customHeight="1">
      <c r="A731" s="197" t="s">
        <v>231</v>
      </c>
    </row>
  </sheetData>
  <sheetProtection password="D1D6" sheet="1" objects="1" scenarios="1"/>
  <printOptions horizontalCentered="1"/>
  <pageMargins left="0" right="0" top="1" bottom="0.43" header="0.39" footer="0.38"/>
  <pageSetup fitToHeight="1" fitToWidth="1" horizontalDpi="300" verticalDpi="300" orientation="portrait" scale="59" r:id="rId1"/>
  <headerFooter alignWithMargins="0">
    <oddHeader>&amp;L&amp;9&amp;D  &amp;T&amp;C&amp;"Courier,Bold"REPORT OF INVESTMENTS
FOR THE 2004-05 FISCAL YEAR&amp;RPED 910F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zoomScale="75" zoomScaleNormal="75" zoomScaleSheetLayoutView="100" workbookViewId="0" topLeftCell="A1">
      <selection activeCell="A3" sqref="A3"/>
    </sheetView>
  </sheetViews>
  <sheetFormatPr defaultColWidth="9.00390625" defaultRowHeight="14.25" customHeight="1"/>
  <cols>
    <col min="1" max="1" width="46.50390625" style="91" customWidth="1"/>
    <col min="2" max="2" width="6.50390625" style="91" customWidth="1"/>
    <col min="3" max="3" width="15.125" style="91" customWidth="1"/>
    <col min="4" max="4" width="14.00390625" style="91" customWidth="1"/>
    <col min="5" max="5" width="15.00390625" style="91" customWidth="1"/>
    <col min="6" max="6" width="14.375" style="91" customWidth="1"/>
    <col min="7" max="7" width="14.875" style="91" customWidth="1"/>
    <col min="8" max="8" width="13.625" style="91" customWidth="1"/>
    <col min="9" max="16384" width="9.00390625" style="91" customWidth="1"/>
  </cols>
  <sheetData>
    <row r="1" spans="1:7" s="111" customFormat="1" ht="14.25" customHeight="1">
      <c r="A1" s="108" t="s">
        <v>245</v>
      </c>
      <c r="B1" s="109"/>
      <c r="C1" s="109"/>
      <c r="D1" s="109"/>
      <c r="E1" s="110" t="s">
        <v>25</v>
      </c>
      <c r="F1" s="109" t="s">
        <v>1</v>
      </c>
      <c r="G1" s="108" t="s">
        <v>235</v>
      </c>
    </row>
    <row r="2" spans="1:7" s="111" customFormat="1" ht="14.25" customHeight="1">
      <c r="A2" s="110" t="s">
        <v>253</v>
      </c>
      <c r="B2" s="109"/>
      <c r="C2" s="112"/>
      <c r="D2" s="110"/>
      <c r="E2" s="113" t="s">
        <v>25</v>
      </c>
      <c r="F2" s="114" t="s">
        <v>216</v>
      </c>
      <c r="G2" s="323" t="s">
        <v>236</v>
      </c>
    </row>
    <row r="3" spans="1:7" ht="14.25" customHeight="1">
      <c r="A3" s="7"/>
      <c r="B3" s="7"/>
      <c r="C3" s="7"/>
      <c r="D3" s="7"/>
      <c r="E3" s="7"/>
      <c r="F3" s="7"/>
      <c r="G3" s="7"/>
    </row>
    <row r="4" spans="1:8" ht="14.25" customHeight="1">
      <c r="A4" s="92"/>
      <c r="B4" s="93"/>
      <c r="C4" s="8" t="s">
        <v>66</v>
      </c>
      <c r="D4" s="8" t="s">
        <v>67</v>
      </c>
      <c r="E4" s="8" t="s">
        <v>68</v>
      </c>
      <c r="F4" s="1" t="s">
        <v>69</v>
      </c>
      <c r="G4" s="8" t="s">
        <v>70</v>
      </c>
      <c r="H4" s="9" t="s">
        <v>71</v>
      </c>
    </row>
    <row r="5" spans="1:8" s="16" customFormat="1" ht="14.25" customHeight="1">
      <c r="A5" s="94"/>
      <c r="B5" s="36"/>
      <c r="C5" s="18" t="s">
        <v>6</v>
      </c>
      <c r="D5" s="18" t="s">
        <v>6</v>
      </c>
      <c r="E5" s="18" t="s">
        <v>6</v>
      </c>
      <c r="F5" s="12" t="s">
        <v>72</v>
      </c>
      <c r="G5" s="19" t="s">
        <v>6</v>
      </c>
      <c r="H5" s="20" t="s">
        <v>6</v>
      </c>
    </row>
    <row r="6" spans="1:8" s="98" customFormat="1" ht="14.25" customHeight="1">
      <c r="A6" s="95"/>
      <c r="B6" s="96"/>
      <c r="C6" s="21" t="s">
        <v>73</v>
      </c>
      <c r="D6" s="21" t="s">
        <v>74</v>
      </c>
      <c r="E6" s="21" t="s">
        <v>75</v>
      </c>
      <c r="F6" s="97" t="s">
        <v>76</v>
      </c>
      <c r="G6" s="21" t="s">
        <v>77</v>
      </c>
      <c r="H6" s="22" t="s">
        <v>78</v>
      </c>
    </row>
    <row r="7" spans="1:8" s="16" customFormat="1" ht="14.25" customHeight="1">
      <c r="A7" s="23"/>
      <c r="B7" s="24"/>
      <c r="C7" s="24"/>
      <c r="D7" s="24"/>
      <c r="E7" s="24"/>
      <c r="F7" s="24"/>
      <c r="G7" s="25"/>
      <c r="H7" s="26"/>
    </row>
    <row r="8" spans="1:8" s="16" customFormat="1" ht="14.25" customHeight="1">
      <c r="A8" s="27" t="s">
        <v>79</v>
      </c>
      <c r="B8" s="36"/>
      <c r="C8" s="28"/>
      <c r="D8" s="28"/>
      <c r="E8" s="28"/>
      <c r="F8" s="28"/>
      <c r="G8" s="29"/>
      <c r="H8" s="30"/>
    </row>
    <row r="9" spans="1:8" s="16" customFormat="1" ht="14.25" customHeight="1">
      <c r="A9" s="27" t="s">
        <v>80</v>
      </c>
      <c r="B9" s="18" t="s">
        <v>81</v>
      </c>
      <c r="C9" s="263">
        <v>0</v>
      </c>
      <c r="D9" s="160">
        <v>0</v>
      </c>
      <c r="E9" s="160">
        <v>0</v>
      </c>
      <c r="F9" s="160">
        <v>0</v>
      </c>
      <c r="G9" s="177">
        <v>0</v>
      </c>
      <c r="H9" s="161">
        <v>0</v>
      </c>
    </row>
    <row r="10" spans="1:8" s="16" customFormat="1" ht="14.25" customHeight="1">
      <c r="A10" s="27" t="s">
        <v>82</v>
      </c>
      <c r="B10" s="18" t="s">
        <v>81</v>
      </c>
      <c r="C10" s="263">
        <v>17388873.79</v>
      </c>
      <c r="D10" s="160">
        <v>0</v>
      </c>
      <c r="E10" s="160">
        <v>1801931.49</v>
      </c>
      <c r="F10" s="160">
        <v>289829.53</v>
      </c>
      <c r="G10" s="177">
        <v>1397856.31</v>
      </c>
      <c r="H10" s="161">
        <v>1532.67</v>
      </c>
    </row>
    <row r="11" spans="1:9" s="16" customFormat="1" ht="14.25" customHeight="1">
      <c r="A11" s="27" t="s">
        <v>83</v>
      </c>
      <c r="B11" s="18" t="s">
        <v>84</v>
      </c>
      <c r="C11" s="302">
        <v>-17388873.79</v>
      </c>
      <c r="D11" s="306">
        <v>0</v>
      </c>
      <c r="E11" s="306">
        <v>-1801931.49</v>
      </c>
      <c r="F11" s="306">
        <v>-289829.53</v>
      </c>
      <c r="G11" s="307">
        <v>-1397856.31</v>
      </c>
      <c r="H11" s="308">
        <v>-1532.67</v>
      </c>
      <c r="I11" s="304"/>
    </row>
    <row r="12" spans="1:9" s="16" customFormat="1" ht="14.25" customHeight="1">
      <c r="A12" s="27" t="s">
        <v>205</v>
      </c>
      <c r="B12" s="18" t="s">
        <v>84</v>
      </c>
      <c r="C12" s="302">
        <v>0</v>
      </c>
      <c r="D12" s="306">
        <v>0</v>
      </c>
      <c r="E12" s="306">
        <v>0</v>
      </c>
      <c r="F12" s="306">
        <v>0</v>
      </c>
      <c r="G12" s="307">
        <v>0</v>
      </c>
      <c r="H12" s="308">
        <v>0</v>
      </c>
      <c r="I12" s="304"/>
    </row>
    <row r="13" spans="1:9" s="16" customFormat="1" ht="14.25" customHeight="1">
      <c r="A13" s="27" t="s">
        <v>204</v>
      </c>
      <c r="B13" s="18" t="s">
        <v>84</v>
      </c>
      <c r="C13" s="302">
        <v>0</v>
      </c>
      <c r="D13" s="306">
        <v>0</v>
      </c>
      <c r="E13" s="306">
        <v>0</v>
      </c>
      <c r="F13" s="306">
        <v>0</v>
      </c>
      <c r="G13" s="307">
        <v>0</v>
      </c>
      <c r="H13" s="308">
        <v>0</v>
      </c>
      <c r="I13" s="304"/>
    </row>
    <row r="14" spans="1:8" s="16" customFormat="1" ht="14.25" customHeight="1">
      <c r="A14" s="31" t="s">
        <v>85</v>
      </c>
      <c r="B14" s="18" t="s">
        <v>81</v>
      </c>
      <c r="C14" s="263">
        <v>0</v>
      </c>
      <c r="D14" s="160">
        <v>0</v>
      </c>
      <c r="E14" s="160">
        <v>0</v>
      </c>
      <c r="F14" s="160">
        <v>0</v>
      </c>
      <c r="G14" s="177">
        <v>0</v>
      </c>
      <c r="H14" s="161">
        <v>0</v>
      </c>
    </row>
    <row r="15" spans="1:9" s="16" customFormat="1" ht="14.25" customHeight="1">
      <c r="A15" s="31" t="s">
        <v>85</v>
      </c>
      <c r="B15" s="18" t="s">
        <v>84</v>
      </c>
      <c r="C15" s="302">
        <v>0</v>
      </c>
      <c r="D15" s="306">
        <v>0</v>
      </c>
      <c r="E15" s="306">
        <v>0</v>
      </c>
      <c r="F15" s="306">
        <v>0</v>
      </c>
      <c r="G15" s="307">
        <v>0</v>
      </c>
      <c r="H15" s="308">
        <v>0</v>
      </c>
      <c r="I15" s="304"/>
    </row>
    <row r="16" spans="1:8" s="16" customFormat="1" ht="14.25" customHeight="1">
      <c r="A16" s="32" t="s">
        <v>86</v>
      </c>
      <c r="B16" s="102"/>
      <c r="C16" s="102"/>
      <c r="D16" s="102"/>
      <c r="E16" s="102"/>
      <c r="F16" s="102"/>
      <c r="G16" s="102"/>
      <c r="H16" s="103"/>
    </row>
    <row r="17" spans="1:8" s="16" customFormat="1" ht="14.25" customHeight="1">
      <c r="A17" s="33" t="s">
        <v>87</v>
      </c>
      <c r="B17" s="34" t="s">
        <v>88</v>
      </c>
      <c r="C17" s="272">
        <f aca="true" t="shared" si="0" ref="C17:H17">SUM(C9:C15)</f>
        <v>0</v>
      </c>
      <c r="D17" s="272">
        <f t="shared" si="0"/>
        <v>0</v>
      </c>
      <c r="E17" s="272">
        <f t="shared" si="0"/>
        <v>0</v>
      </c>
      <c r="F17" s="272">
        <f t="shared" si="0"/>
        <v>0</v>
      </c>
      <c r="G17" s="272">
        <f t="shared" si="0"/>
        <v>0</v>
      </c>
      <c r="H17" s="273">
        <f t="shared" si="0"/>
        <v>0</v>
      </c>
    </row>
    <row r="18" spans="1:8" s="16" customFormat="1" ht="14.25" customHeight="1">
      <c r="A18" s="23"/>
      <c r="B18" s="24"/>
      <c r="C18" s="24"/>
      <c r="D18" s="24"/>
      <c r="E18" s="24"/>
      <c r="F18" s="24"/>
      <c r="G18" s="25"/>
      <c r="H18" s="26"/>
    </row>
    <row r="19" spans="1:8" s="16" customFormat="1" ht="14.25" customHeight="1">
      <c r="A19" s="27" t="s">
        <v>89</v>
      </c>
      <c r="B19" s="36"/>
      <c r="C19" s="36"/>
      <c r="D19" s="36"/>
      <c r="E19" s="36"/>
      <c r="F19" s="36"/>
      <c r="G19" s="37"/>
      <c r="H19" s="38"/>
    </row>
    <row r="20" spans="1:8" s="16" customFormat="1" ht="14.25" customHeight="1">
      <c r="A20" s="27" t="s">
        <v>90</v>
      </c>
      <c r="B20" s="18" t="s">
        <v>81</v>
      </c>
      <c r="C20" s="160">
        <v>3527538.2</v>
      </c>
      <c r="D20" s="160">
        <v>0</v>
      </c>
      <c r="E20" s="160">
        <v>148592.62</v>
      </c>
      <c r="F20" s="160">
        <v>800257.35</v>
      </c>
      <c r="G20" s="160">
        <v>1306124.56</v>
      </c>
      <c r="H20" s="161">
        <v>80171.69</v>
      </c>
    </row>
    <row r="21" spans="1:8" s="16" customFormat="1" ht="14.25" customHeight="1">
      <c r="A21" s="27" t="s">
        <v>208</v>
      </c>
      <c r="B21" s="36"/>
      <c r="C21" s="130"/>
      <c r="D21" s="130"/>
      <c r="E21" s="130"/>
      <c r="F21" s="130"/>
      <c r="G21" s="139"/>
      <c r="H21" s="71"/>
    </row>
    <row r="22" spans="1:8" s="16" customFormat="1" ht="14.25" customHeight="1">
      <c r="A22" s="82" t="s">
        <v>207</v>
      </c>
      <c r="B22" s="18" t="s">
        <v>81</v>
      </c>
      <c r="C22" s="160">
        <v>18825834.68</v>
      </c>
      <c r="D22" s="160">
        <v>0</v>
      </c>
      <c r="E22" s="160">
        <v>1404146</v>
      </c>
      <c r="F22" s="160">
        <v>0</v>
      </c>
      <c r="G22" s="160">
        <v>1693650.25</v>
      </c>
      <c r="H22" s="161">
        <v>21248.72</v>
      </c>
    </row>
    <row r="23" spans="1:8" s="16" customFormat="1" ht="14.25" customHeight="1">
      <c r="A23" s="27" t="s">
        <v>83</v>
      </c>
      <c r="B23" s="18" t="s">
        <v>84</v>
      </c>
      <c r="C23" s="141">
        <f aca="true" t="shared" si="1" ref="C23:H23">C11</f>
        <v>-17388873.79</v>
      </c>
      <c r="D23" s="141">
        <f t="shared" si="1"/>
        <v>0</v>
      </c>
      <c r="E23" s="141">
        <f t="shared" si="1"/>
        <v>-1801931.49</v>
      </c>
      <c r="F23" s="141">
        <f t="shared" si="1"/>
        <v>-289829.53</v>
      </c>
      <c r="G23" s="142">
        <f t="shared" si="1"/>
        <v>-1397856.31</v>
      </c>
      <c r="H23" s="186">
        <f t="shared" si="1"/>
        <v>-1532.67</v>
      </c>
    </row>
    <row r="24" spans="1:9" s="16" customFormat="1" ht="14.25" customHeight="1">
      <c r="A24" s="27" t="s">
        <v>91</v>
      </c>
      <c r="B24" s="18" t="s">
        <v>84</v>
      </c>
      <c r="C24" s="306">
        <v>0</v>
      </c>
      <c r="D24" s="306">
        <v>0</v>
      </c>
      <c r="E24" s="306">
        <v>0</v>
      </c>
      <c r="F24" s="306">
        <v>0</v>
      </c>
      <c r="G24" s="307">
        <v>0</v>
      </c>
      <c r="H24" s="308">
        <v>0</v>
      </c>
      <c r="I24" s="304"/>
    </row>
    <row r="25" spans="1:8" s="16" customFormat="1" ht="14.25" customHeight="1">
      <c r="A25" s="27" t="s">
        <v>209</v>
      </c>
      <c r="B25" s="18" t="s">
        <v>81</v>
      </c>
      <c r="C25" s="160">
        <v>0</v>
      </c>
      <c r="D25" s="160">
        <v>0</v>
      </c>
      <c r="E25" s="160">
        <v>0</v>
      </c>
      <c r="F25" s="160">
        <v>0</v>
      </c>
      <c r="G25" s="177">
        <v>0</v>
      </c>
      <c r="H25" s="161">
        <v>0</v>
      </c>
    </row>
    <row r="26" spans="1:8" s="16" customFormat="1" ht="14.25" customHeight="1">
      <c r="A26" s="27" t="s">
        <v>211</v>
      </c>
      <c r="B26" s="18" t="s">
        <v>81</v>
      </c>
      <c r="C26" s="160">
        <v>0</v>
      </c>
      <c r="D26" s="160">
        <v>0</v>
      </c>
      <c r="E26" s="160">
        <v>0</v>
      </c>
      <c r="F26" s="160">
        <v>0</v>
      </c>
      <c r="G26" s="177">
        <v>0</v>
      </c>
      <c r="H26" s="161">
        <v>0</v>
      </c>
    </row>
    <row r="27" spans="1:9" s="16" customFormat="1" ht="14.25" customHeight="1">
      <c r="A27" s="27" t="s">
        <v>212</v>
      </c>
      <c r="B27" s="18" t="s">
        <v>84</v>
      </c>
      <c r="C27" s="306">
        <v>0</v>
      </c>
      <c r="D27" s="306">
        <v>0</v>
      </c>
      <c r="E27" s="306">
        <v>0</v>
      </c>
      <c r="F27" s="306">
        <v>0</v>
      </c>
      <c r="G27" s="307">
        <v>0</v>
      </c>
      <c r="H27" s="308">
        <v>0</v>
      </c>
      <c r="I27" s="304"/>
    </row>
    <row r="28" spans="1:8" s="16" customFormat="1" ht="14.25" customHeight="1">
      <c r="A28" s="27" t="s">
        <v>92</v>
      </c>
      <c r="B28" s="18" t="s">
        <v>97</v>
      </c>
      <c r="C28" s="160">
        <v>0</v>
      </c>
      <c r="D28" s="160">
        <v>0</v>
      </c>
      <c r="E28" s="160">
        <v>0</v>
      </c>
      <c r="F28" s="160">
        <v>0</v>
      </c>
      <c r="G28" s="177">
        <v>0</v>
      </c>
      <c r="H28" s="161">
        <v>944</v>
      </c>
    </row>
    <row r="29" spans="1:9" s="16" customFormat="1" ht="14.25" customHeight="1">
      <c r="A29" s="27" t="s">
        <v>185</v>
      </c>
      <c r="B29" s="18" t="s">
        <v>84</v>
      </c>
      <c r="C29" s="306">
        <f>-818171.87-8824.54</f>
        <v>-826996.41</v>
      </c>
      <c r="D29" s="306">
        <v>0</v>
      </c>
      <c r="E29" s="306">
        <v>-1248.96</v>
      </c>
      <c r="F29" s="306">
        <v>0</v>
      </c>
      <c r="G29" s="307">
        <f>6710.22-205.05</f>
        <v>6505.17</v>
      </c>
      <c r="H29" s="308">
        <v>0</v>
      </c>
      <c r="I29" s="304"/>
    </row>
    <row r="30" spans="1:8" s="16" customFormat="1" ht="14.25" customHeight="1">
      <c r="A30" s="27" t="s">
        <v>93</v>
      </c>
      <c r="B30" s="18" t="s">
        <v>84</v>
      </c>
      <c r="C30" s="264">
        <f>-INVESTMENTS!D9</f>
        <v>-37329.85</v>
      </c>
      <c r="D30" s="264">
        <f>-INVESTMENTS!D10</f>
        <v>0</v>
      </c>
      <c r="E30" s="264">
        <f>(-INVESTMENTS!D11)</f>
        <v>0</v>
      </c>
      <c r="F30" s="264">
        <f>-INVESTMENTS!D12</f>
        <v>0</v>
      </c>
      <c r="G30" s="265">
        <f>-INVESTMENTS!D13</f>
        <v>-19606.93</v>
      </c>
      <c r="H30" s="266">
        <f>-INVESTMENTS!D14</f>
        <v>-44.91</v>
      </c>
    </row>
    <row r="31" spans="1:8" s="16" customFormat="1" ht="14.25" customHeight="1">
      <c r="A31" s="27" t="s">
        <v>94</v>
      </c>
      <c r="B31" s="18" t="s">
        <v>81</v>
      </c>
      <c r="C31" s="99">
        <f>INVESTMENTS!E9</f>
        <v>0</v>
      </c>
      <c r="D31" s="99">
        <f>INVESTMENTS!E10</f>
        <v>0</v>
      </c>
      <c r="E31" s="99">
        <f>INVESTMENTS!E11</f>
        <v>0</v>
      </c>
      <c r="F31" s="99">
        <f>INVESTMENTS!E12</f>
        <v>0</v>
      </c>
      <c r="G31" s="100">
        <f>INVESTMENTS!E13</f>
        <v>0</v>
      </c>
      <c r="H31" s="101">
        <f>INVESTMENTS!E14</f>
        <v>0</v>
      </c>
    </row>
    <row r="32" spans="1:8" s="16" customFormat="1" ht="14.25" customHeight="1">
      <c r="A32" s="27" t="s">
        <v>95</v>
      </c>
      <c r="B32" s="18" t="s">
        <v>84</v>
      </c>
      <c r="C32" s="141">
        <f aca="true" t="shared" si="2" ref="C32:H32">-(C17)</f>
        <v>0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2">
        <f t="shared" si="2"/>
        <v>0</v>
      </c>
      <c r="H32" s="186">
        <f t="shared" si="2"/>
        <v>0</v>
      </c>
    </row>
    <row r="33" spans="1:8" s="16" customFormat="1" ht="14.25" customHeight="1">
      <c r="A33" s="27" t="s">
        <v>96</v>
      </c>
      <c r="B33" s="18" t="s">
        <v>88</v>
      </c>
      <c r="C33" s="269">
        <f aca="true" t="shared" si="3" ref="C33:H33">C20+SUM(C22:C32)</f>
        <v>4100172.83</v>
      </c>
      <c r="D33" s="269">
        <f t="shared" si="3"/>
        <v>0</v>
      </c>
      <c r="E33" s="269">
        <f t="shared" si="3"/>
        <v>-250441.83</v>
      </c>
      <c r="F33" s="269">
        <f t="shared" si="3"/>
        <v>510427.82</v>
      </c>
      <c r="G33" s="270">
        <f t="shared" si="3"/>
        <v>1588816.74</v>
      </c>
      <c r="H33" s="271">
        <f t="shared" si="3"/>
        <v>100786.83</v>
      </c>
    </row>
    <row r="34" spans="1:8" s="16" customFormat="1" ht="14.25" customHeight="1">
      <c r="A34" s="27" t="s">
        <v>203</v>
      </c>
      <c r="B34" s="18" t="s">
        <v>97</v>
      </c>
      <c r="C34" s="160">
        <v>0</v>
      </c>
      <c r="D34" s="160">
        <v>0</v>
      </c>
      <c r="E34" s="160">
        <v>0</v>
      </c>
      <c r="F34" s="160">
        <v>0</v>
      </c>
      <c r="G34" s="177">
        <v>0</v>
      </c>
      <c r="H34" s="161">
        <v>0</v>
      </c>
    </row>
    <row r="35" spans="1:8" s="16" customFormat="1" ht="14.25" customHeight="1">
      <c r="A35" s="319" t="s">
        <v>232</v>
      </c>
      <c r="B35" s="18" t="s">
        <v>97</v>
      </c>
      <c r="C35" s="131">
        <f>'CASH REPORT'!C43</f>
        <v>0</v>
      </c>
      <c r="D35" s="131">
        <f>'CASH REPORT'!D43</f>
        <v>0</v>
      </c>
      <c r="E35" s="131">
        <f>'CASH REPORT'!E43</f>
        <v>0</v>
      </c>
      <c r="F35" s="131">
        <f>'CASH REPORT'!F43</f>
        <v>0</v>
      </c>
      <c r="G35" s="131">
        <f>'CASH REPORT'!G43</f>
        <v>0</v>
      </c>
      <c r="H35" s="131">
        <f>'CASH REPORT'!H43</f>
        <v>0</v>
      </c>
    </row>
    <row r="36" spans="1:8" s="16" customFormat="1" ht="14.25" customHeight="1">
      <c r="A36" s="27" t="s">
        <v>98</v>
      </c>
      <c r="B36" s="18" t="s">
        <v>99</v>
      </c>
      <c r="C36" s="269">
        <f aca="true" t="shared" si="4" ref="C36:H36">C33+C34+C35</f>
        <v>4100172.83</v>
      </c>
      <c r="D36" s="269">
        <f t="shared" si="4"/>
        <v>0</v>
      </c>
      <c r="E36" s="269">
        <f t="shared" si="4"/>
        <v>-250441.83</v>
      </c>
      <c r="F36" s="269">
        <f t="shared" si="4"/>
        <v>510427.82</v>
      </c>
      <c r="G36" s="270">
        <f t="shared" si="4"/>
        <v>1588816.74</v>
      </c>
      <c r="H36" s="271">
        <f t="shared" si="4"/>
        <v>100786.83</v>
      </c>
    </row>
    <row r="37" spans="1:8" s="16" customFormat="1" ht="14.25" customHeight="1">
      <c r="A37" s="27" t="s">
        <v>100</v>
      </c>
      <c r="B37" s="18" t="s">
        <v>101</v>
      </c>
      <c r="C37" s="99">
        <f>INVESTMENTS!F9</f>
        <v>1037349.85</v>
      </c>
      <c r="D37" s="99">
        <f>INVESTMENTS!F10</f>
        <v>0</v>
      </c>
      <c r="E37" s="99">
        <f>INVESTMENTS!F11</f>
        <v>0</v>
      </c>
      <c r="F37" s="99">
        <f>INVESTMENTS!F12</f>
        <v>0</v>
      </c>
      <c r="G37" s="100">
        <f>INVESTMENTS!F13</f>
        <v>1269606.93</v>
      </c>
      <c r="H37" s="101">
        <f>INVESTMENTS!F14</f>
        <v>50044.91</v>
      </c>
    </row>
    <row r="38" spans="1:8" s="16" customFormat="1" ht="14.25" customHeight="1">
      <c r="A38" s="39"/>
      <c r="B38" s="40"/>
      <c r="C38" s="40"/>
      <c r="D38" s="40"/>
      <c r="E38" s="40"/>
      <c r="F38" s="40"/>
      <c r="G38" s="40"/>
      <c r="H38" s="41"/>
    </row>
    <row r="39" spans="1:8" s="16" customFormat="1" ht="14.25" customHeight="1">
      <c r="A39" s="42" t="s">
        <v>102</v>
      </c>
      <c r="B39" s="34" t="s">
        <v>88</v>
      </c>
      <c r="C39" s="272">
        <f aca="true" t="shared" si="5" ref="C39:H39">C36+C37</f>
        <v>5137522.68</v>
      </c>
      <c r="D39" s="272">
        <f t="shared" si="5"/>
        <v>0</v>
      </c>
      <c r="E39" s="272">
        <f t="shared" si="5"/>
        <v>-250441.83</v>
      </c>
      <c r="F39" s="272">
        <f t="shared" si="5"/>
        <v>510427.82</v>
      </c>
      <c r="G39" s="272">
        <f t="shared" si="5"/>
        <v>2858423.67</v>
      </c>
      <c r="H39" s="273">
        <f t="shared" si="5"/>
        <v>150831.74</v>
      </c>
    </row>
    <row r="40" spans="1:8" s="16" customFormat="1" ht="14.25" customHeight="1">
      <c r="A40" s="23"/>
      <c r="B40" s="24"/>
      <c r="C40" s="24"/>
      <c r="D40" s="24"/>
      <c r="E40" s="24"/>
      <c r="F40" s="24"/>
      <c r="G40" s="25"/>
      <c r="H40" s="26"/>
    </row>
    <row r="41" spans="1:8" s="16" customFormat="1" ht="14.25" customHeight="1">
      <c r="A41" s="27" t="s">
        <v>103</v>
      </c>
      <c r="B41" s="36"/>
      <c r="C41" s="36"/>
      <c r="D41" s="36"/>
      <c r="E41" s="36"/>
      <c r="F41" s="36"/>
      <c r="G41" s="37"/>
      <c r="H41" s="38"/>
    </row>
    <row r="42" spans="1:8" s="16" customFormat="1" ht="14.25" customHeight="1">
      <c r="A42" s="27" t="s">
        <v>104</v>
      </c>
      <c r="B42" s="18" t="s">
        <v>81</v>
      </c>
      <c r="C42" s="160">
        <f>4100172.83+818171.87</f>
        <v>4918344.7</v>
      </c>
      <c r="D42" s="160">
        <v>0</v>
      </c>
      <c r="E42" s="160">
        <v>-249192.87</v>
      </c>
      <c r="F42" s="160">
        <v>510427.82</v>
      </c>
      <c r="G42" s="177">
        <v>1588816.74</v>
      </c>
      <c r="H42" s="161">
        <v>100786.83</v>
      </c>
    </row>
    <row r="43" spans="1:8" s="16" customFormat="1" ht="14.25" customHeight="1">
      <c r="A43" s="27" t="s">
        <v>105</v>
      </c>
      <c r="B43" s="18" t="s">
        <v>97</v>
      </c>
      <c r="C43" s="160">
        <v>-818171.87</v>
      </c>
      <c r="D43" s="160">
        <v>0</v>
      </c>
      <c r="E43" s="160">
        <v>-1248.96</v>
      </c>
      <c r="F43" s="160">
        <v>0</v>
      </c>
      <c r="G43" s="160">
        <v>0</v>
      </c>
      <c r="H43" s="160">
        <v>0</v>
      </c>
    </row>
    <row r="44" spans="1:8" s="16" customFormat="1" ht="14.25" customHeight="1">
      <c r="A44" s="27" t="s">
        <v>106</v>
      </c>
      <c r="B44" s="18" t="s">
        <v>97</v>
      </c>
      <c r="C44" s="160">
        <v>0</v>
      </c>
      <c r="D44" s="160">
        <v>0</v>
      </c>
      <c r="E44" s="160">
        <v>0</v>
      </c>
      <c r="F44" s="160">
        <v>0</v>
      </c>
      <c r="G44" s="177">
        <v>0</v>
      </c>
      <c r="H44" s="161">
        <v>0</v>
      </c>
    </row>
    <row r="45" spans="1:8" s="16" customFormat="1" ht="14.25" customHeight="1">
      <c r="A45" s="27" t="s">
        <v>107</v>
      </c>
      <c r="B45" s="18" t="s">
        <v>97</v>
      </c>
      <c r="C45" s="131">
        <f aca="true" t="shared" si="6" ref="C45:H45">C35</f>
        <v>0</v>
      </c>
      <c r="D45" s="131">
        <f t="shared" si="6"/>
        <v>0</v>
      </c>
      <c r="E45" s="131">
        <f t="shared" si="6"/>
        <v>0</v>
      </c>
      <c r="F45" s="131">
        <f t="shared" si="6"/>
        <v>0</v>
      </c>
      <c r="G45" s="131">
        <f t="shared" si="6"/>
        <v>0</v>
      </c>
      <c r="H45" s="131">
        <f t="shared" si="6"/>
        <v>0</v>
      </c>
    </row>
    <row r="46" spans="1:8" s="16" customFormat="1" ht="14.25" customHeight="1">
      <c r="A46" s="33" t="s">
        <v>108</v>
      </c>
      <c r="B46" s="34" t="s">
        <v>84</v>
      </c>
      <c r="C46" s="162">
        <f aca="true" t="shared" si="7" ref="C46:H46">-(C17)</f>
        <v>0</v>
      </c>
      <c r="D46" s="162">
        <f t="shared" si="7"/>
        <v>0</v>
      </c>
      <c r="E46" s="162">
        <f t="shared" si="7"/>
        <v>0</v>
      </c>
      <c r="F46" s="162">
        <f t="shared" si="7"/>
        <v>0</v>
      </c>
      <c r="G46" s="162">
        <f t="shared" si="7"/>
        <v>0</v>
      </c>
      <c r="H46" s="163">
        <f t="shared" si="7"/>
        <v>0</v>
      </c>
    </row>
    <row r="47" spans="1:8" s="16" customFormat="1" ht="14.25" customHeight="1">
      <c r="A47" s="23"/>
      <c r="B47" s="24"/>
      <c r="C47" s="187"/>
      <c r="D47" s="187"/>
      <c r="E47" s="187"/>
      <c r="F47" s="187"/>
      <c r="G47" s="188"/>
      <c r="H47" s="189"/>
    </row>
    <row r="48" spans="1:8" s="16" customFormat="1" ht="14.25" customHeight="1">
      <c r="A48" s="33" t="s">
        <v>109</v>
      </c>
      <c r="B48" s="34" t="s">
        <v>88</v>
      </c>
      <c r="C48" s="272">
        <f aca="true" t="shared" si="8" ref="C48:H48">SUM(C42:C46)</f>
        <v>4100172.83</v>
      </c>
      <c r="D48" s="272">
        <f t="shared" si="8"/>
        <v>0</v>
      </c>
      <c r="E48" s="272">
        <f t="shared" si="8"/>
        <v>-250441.83</v>
      </c>
      <c r="F48" s="272">
        <f t="shared" si="8"/>
        <v>510427.82</v>
      </c>
      <c r="G48" s="272">
        <f t="shared" si="8"/>
        <v>1588816.74</v>
      </c>
      <c r="H48" s="273">
        <f t="shared" si="8"/>
        <v>100786.83</v>
      </c>
    </row>
    <row r="49" spans="1:8" s="16" customFormat="1" ht="14.25" customHeight="1">
      <c r="A49" s="80" t="s">
        <v>195</v>
      </c>
      <c r="B49" s="24"/>
      <c r="C49" s="52" t="str">
        <f aca="true" t="shared" si="9" ref="C49:H49">IF(C36=C48," ","NOT BALANCED")</f>
        <v> </v>
      </c>
      <c r="D49" s="52" t="str">
        <f t="shared" si="9"/>
        <v> </v>
      </c>
      <c r="E49" s="52" t="str">
        <f t="shared" si="9"/>
        <v> </v>
      </c>
      <c r="F49" s="52" t="str">
        <f t="shared" si="9"/>
        <v> </v>
      </c>
      <c r="G49" s="52" t="str">
        <f t="shared" si="9"/>
        <v> </v>
      </c>
      <c r="H49" s="52" t="str">
        <f t="shared" si="9"/>
        <v> </v>
      </c>
    </row>
    <row r="50" spans="1:7" s="16" customFormat="1" ht="14.25" customHeight="1">
      <c r="A50" s="43" t="s">
        <v>110</v>
      </c>
      <c r="B50" s="36"/>
      <c r="C50" s="36"/>
      <c r="D50" s="36"/>
      <c r="E50" s="36"/>
      <c r="F50" s="36"/>
      <c r="G50" s="36"/>
    </row>
    <row r="51" spans="1:7" s="16" customFormat="1" ht="14.25" customHeight="1">
      <c r="A51" s="104"/>
      <c r="B51" s="104"/>
      <c r="C51" s="104"/>
      <c r="D51" s="104"/>
      <c r="E51" s="104"/>
      <c r="F51" s="104"/>
      <c r="G51" s="104"/>
    </row>
    <row r="52" spans="1:7" s="16" customFormat="1" ht="14.25" customHeight="1">
      <c r="A52" s="44" t="str">
        <f>A1</f>
        <v>SCHOOL DISTRICT/CHARTER:  GADSDEN</v>
      </c>
      <c r="B52" s="36"/>
      <c r="C52" s="36"/>
      <c r="D52" s="36"/>
      <c r="E52" s="43" t="s">
        <v>25</v>
      </c>
      <c r="F52" s="36" t="s">
        <v>1</v>
      </c>
      <c r="G52" s="44" t="str">
        <f>G1</f>
        <v>DONA ANA</v>
      </c>
    </row>
    <row r="53" spans="1:7" s="16" customFormat="1" ht="14.25" customHeight="1">
      <c r="A53" s="43" t="str">
        <f>A2</f>
        <v>Month/Quarter:                      MARCH 2005</v>
      </c>
      <c r="B53" s="36"/>
      <c r="C53" s="45"/>
      <c r="D53" s="43"/>
      <c r="E53" s="46" t="s">
        <v>25</v>
      </c>
      <c r="F53" s="47" t="s">
        <v>2</v>
      </c>
      <c r="G53" s="48" t="str">
        <f>G2</f>
        <v>19</v>
      </c>
    </row>
    <row r="54" spans="1:7" s="16" customFormat="1" ht="14.25" customHeight="1">
      <c r="A54" s="24"/>
      <c r="B54" s="24"/>
      <c r="C54" s="24"/>
      <c r="D54" s="24"/>
      <c r="E54" s="24"/>
      <c r="F54" s="24"/>
      <c r="G54" s="24"/>
    </row>
    <row r="55" spans="1:8" s="16" customFormat="1" ht="14.25" customHeight="1">
      <c r="A55" s="105"/>
      <c r="B55" s="102"/>
      <c r="C55" s="49" t="s">
        <v>111</v>
      </c>
      <c r="D55" s="49" t="s">
        <v>112</v>
      </c>
      <c r="E55" s="49" t="s">
        <v>113</v>
      </c>
      <c r="F55" s="49" t="s">
        <v>114</v>
      </c>
      <c r="G55" s="49" t="s">
        <v>115</v>
      </c>
      <c r="H55" s="50" t="s">
        <v>116</v>
      </c>
    </row>
    <row r="56" spans="1:8" s="16" customFormat="1" ht="14.25" customHeight="1">
      <c r="A56" s="94"/>
      <c r="B56" s="36"/>
      <c r="C56" s="18" t="s">
        <v>6</v>
      </c>
      <c r="D56" s="18" t="s">
        <v>6</v>
      </c>
      <c r="E56" s="18" t="s">
        <v>6</v>
      </c>
      <c r="F56" s="19" t="s">
        <v>117</v>
      </c>
      <c r="G56" s="19" t="s">
        <v>118</v>
      </c>
      <c r="H56" s="20" t="s">
        <v>119</v>
      </c>
    </row>
    <row r="57" spans="1:8" s="98" customFormat="1" ht="14.25" customHeight="1">
      <c r="A57" s="95"/>
      <c r="B57" s="96"/>
      <c r="C57" s="86" t="s">
        <v>120</v>
      </c>
      <c r="D57" s="86" t="s">
        <v>121</v>
      </c>
      <c r="E57" s="86" t="s">
        <v>122</v>
      </c>
      <c r="F57" s="86" t="s">
        <v>123</v>
      </c>
      <c r="G57" s="86" t="s">
        <v>124</v>
      </c>
      <c r="H57" s="90" t="s">
        <v>125</v>
      </c>
    </row>
    <row r="58" spans="1:8" s="16" customFormat="1" ht="14.25" customHeight="1">
      <c r="A58" s="23"/>
      <c r="B58" s="24"/>
      <c r="C58" s="24"/>
      <c r="D58" s="24"/>
      <c r="E58" s="24"/>
      <c r="F58" s="25"/>
      <c r="G58" s="25"/>
      <c r="H58" s="26"/>
    </row>
    <row r="59" spans="1:8" s="16" customFormat="1" ht="14.25" customHeight="1">
      <c r="A59" s="27" t="s">
        <v>79</v>
      </c>
      <c r="B59" s="36"/>
      <c r="C59" s="28"/>
      <c r="D59" s="28"/>
      <c r="E59" s="28"/>
      <c r="F59" s="28"/>
      <c r="G59" s="29"/>
      <c r="H59" s="30"/>
    </row>
    <row r="60" spans="1:8" s="16" customFormat="1" ht="14.25" customHeight="1">
      <c r="A60" s="27" t="s">
        <v>80</v>
      </c>
      <c r="B60" s="18" t="s">
        <v>81</v>
      </c>
      <c r="C60" s="263">
        <v>0</v>
      </c>
      <c r="D60" s="160">
        <v>0</v>
      </c>
      <c r="E60" s="160">
        <v>0</v>
      </c>
      <c r="F60" s="160">
        <v>0</v>
      </c>
      <c r="G60" s="177">
        <v>0</v>
      </c>
      <c r="H60" s="161">
        <v>0</v>
      </c>
    </row>
    <row r="61" spans="1:8" s="16" customFormat="1" ht="14.25" customHeight="1">
      <c r="A61" s="27" t="s">
        <v>82</v>
      </c>
      <c r="B61" s="18" t="s">
        <v>81</v>
      </c>
      <c r="C61" s="263">
        <v>243111.78</v>
      </c>
      <c r="D61" s="160">
        <v>2892223.61</v>
      </c>
      <c r="E61" s="160">
        <v>807573.13</v>
      </c>
      <c r="F61" s="160">
        <v>663553.31</v>
      </c>
      <c r="G61" s="177">
        <v>3694239.43</v>
      </c>
      <c r="H61" s="161">
        <v>546125.6</v>
      </c>
    </row>
    <row r="62" spans="1:8" s="16" customFormat="1" ht="14.25" customHeight="1">
      <c r="A62" s="27" t="s">
        <v>83</v>
      </c>
      <c r="B62" s="18" t="s">
        <v>84</v>
      </c>
      <c r="C62" s="302">
        <v>-243111.78</v>
      </c>
      <c r="D62" s="306">
        <v>-2892223.61</v>
      </c>
      <c r="E62" s="306">
        <v>-807573.13</v>
      </c>
      <c r="F62" s="306">
        <v>-663553.31</v>
      </c>
      <c r="G62" s="307">
        <v>-3694239.43</v>
      </c>
      <c r="H62" s="308">
        <v>-546125.6</v>
      </c>
    </row>
    <row r="63" spans="1:9" s="16" customFormat="1" ht="14.25" customHeight="1">
      <c r="A63" s="27" t="s">
        <v>205</v>
      </c>
      <c r="B63" s="18" t="s">
        <v>84</v>
      </c>
      <c r="C63" s="302">
        <v>0</v>
      </c>
      <c r="D63" s="306">
        <v>0</v>
      </c>
      <c r="E63" s="306">
        <v>0</v>
      </c>
      <c r="F63" s="306">
        <v>0</v>
      </c>
      <c r="G63" s="307">
        <v>0</v>
      </c>
      <c r="H63" s="308">
        <v>0</v>
      </c>
      <c r="I63" s="304"/>
    </row>
    <row r="64" spans="1:9" s="16" customFormat="1" ht="14.25" customHeight="1">
      <c r="A64" s="27" t="s">
        <v>204</v>
      </c>
      <c r="B64" s="18" t="s">
        <v>84</v>
      </c>
      <c r="C64" s="302">
        <v>0</v>
      </c>
      <c r="D64" s="306">
        <v>0</v>
      </c>
      <c r="E64" s="306">
        <v>0</v>
      </c>
      <c r="F64" s="306">
        <v>0</v>
      </c>
      <c r="G64" s="307">
        <v>0</v>
      </c>
      <c r="H64" s="308">
        <v>0</v>
      </c>
      <c r="I64" s="304"/>
    </row>
    <row r="65" spans="1:8" s="16" customFormat="1" ht="14.25" customHeight="1">
      <c r="A65" s="31" t="s">
        <v>85</v>
      </c>
      <c r="B65" s="18" t="s">
        <v>81</v>
      </c>
      <c r="C65" s="263">
        <v>0</v>
      </c>
      <c r="D65" s="160">
        <v>0</v>
      </c>
      <c r="E65" s="160">
        <v>0</v>
      </c>
      <c r="F65" s="160">
        <v>0</v>
      </c>
      <c r="G65" s="177">
        <v>0</v>
      </c>
      <c r="H65" s="161">
        <v>0</v>
      </c>
    </row>
    <row r="66" spans="1:9" s="16" customFormat="1" ht="14.25" customHeight="1">
      <c r="A66" s="31" t="s">
        <v>85</v>
      </c>
      <c r="B66" s="18" t="s">
        <v>84</v>
      </c>
      <c r="C66" s="302">
        <v>0</v>
      </c>
      <c r="D66" s="306">
        <v>0</v>
      </c>
      <c r="E66" s="306">
        <v>0</v>
      </c>
      <c r="F66" s="306">
        <v>0</v>
      </c>
      <c r="G66" s="307">
        <v>0</v>
      </c>
      <c r="H66" s="308">
        <v>0</v>
      </c>
      <c r="I66" s="304"/>
    </row>
    <row r="67" spans="1:8" s="16" customFormat="1" ht="14.25" customHeight="1">
      <c r="A67" s="32" t="s">
        <v>86</v>
      </c>
      <c r="B67" s="102"/>
      <c r="C67" s="102"/>
      <c r="D67" s="102"/>
      <c r="E67" s="102"/>
      <c r="F67" s="102"/>
      <c r="G67" s="102"/>
      <c r="H67" s="103"/>
    </row>
    <row r="68" spans="1:8" s="16" customFormat="1" ht="14.25" customHeight="1">
      <c r="A68" s="33" t="s">
        <v>87</v>
      </c>
      <c r="B68" s="34" t="s">
        <v>88</v>
      </c>
      <c r="C68" s="272">
        <f aca="true" t="shared" si="10" ref="C68:H68">SUM(C60:C66)</f>
        <v>0</v>
      </c>
      <c r="D68" s="272">
        <f t="shared" si="10"/>
        <v>0</v>
      </c>
      <c r="E68" s="272">
        <f t="shared" si="10"/>
        <v>0</v>
      </c>
      <c r="F68" s="272">
        <f t="shared" si="10"/>
        <v>0</v>
      </c>
      <c r="G68" s="272">
        <f t="shared" si="10"/>
        <v>0</v>
      </c>
      <c r="H68" s="273">
        <f t="shared" si="10"/>
        <v>0</v>
      </c>
    </row>
    <row r="69" spans="1:8" s="16" customFormat="1" ht="14.25" customHeight="1">
      <c r="A69" s="23"/>
      <c r="B69" s="24"/>
      <c r="C69" s="24"/>
      <c r="D69" s="24"/>
      <c r="E69" s="24"/>
      <c r="F69" s="24"/>
      <c r="G69" s="25"/>
      <c r="H69" s="26"/>
    </row>
    <row r="70" spans="1:8" s="16" customFormat="1" ht="14.25" customHeight="1">
      <c r="A70" s="27" t="s">
        <v>89</v>
      </c>
      <c r="B70" s="36"/>
      <c r="C70" s="36"/>
      <c r="D70" s="36"/>
      <c r="E70" s="36"/>
      <c r="F70" s="36"/>
      <c r="G70" s="37"/>
      <c r="H70" s="38"/>
    </row>
    <row r="71" spans="1:8" s="16" customFormat="1" ht="14.25" customHeight="1">
      <c r="A71" s="27" t="s">
        <v>90</v>
      </c>
      <c r="B71" s="18" t="s">
        <v>81</v>
      </c>
      <c r="C71" s="160">
        <v>241104.79</v>
      </c>
      <c r="D71" s="160">
        <v>293543.8</v>
      </c>
      <c r="E71" s="160">
        <v>716471.4</v>
      </c>
      <c r="F71" s="160">
        <v>10389981.37</v>
      </c>
      <c r="G71" s="177">
        <v>-2677448.83</v>
      </c>
      <c r="H71" s="161">
        <v>582056.5</v>
      </c>
    </row>
    <row r="72" spans="1:8" s="16" customFormat="1" ht="14.25" customHeight="1">
      <c r="A72" s="27" t="s">
        <v>208</v>
      </c>
      <c r="B72" s="36"/>
      <c r="C72" s="130"/>
      <c r="D72" s="130"/>
      <c r="E72" s="130"/>
      <c r="F72" s="130"/>
      <c r="G72" s="139"/>
      <c r="H72" s="71"/>
    </row>
    <row r="73" spans="1:8" s="16" customFormat="1" ht="14.25" customHeight="1">
      <c r="A73" s="82" t="s">
        <v>207</v>
      </c>
      <c r="B73" s="18" t="s">
        <v>81</v>
      </c>
      <c r="C73" s="160">
        <v>249564.27</v>
      </c>
      <c r="D73" s="160">
        <v>3008780.19</v>
      </c>
      <c r="E73" s="160">
        <v>491003.77</v>
      </c>
      <c r="F73" s="160">
        <v>77742.83</v>
      </c>
      <c r="G73" s="177">
        <v>0</v>
      </c>
      <c r="H73" s="161">
        <v>0</v>
      </c>
    </row>
    <row r="74" spans="1:8" s="16" customFormat="1" ht="14.25" customHeight="1">
      <c r="A74" s="27" t="s">
        <v>83</v>
      </c>
      <c r="B74" s="18" t="s">
        <v>84</v>
      </c>
      <c r="C74" s="141">
        <f aca="true" t="shared" si="11" ref="C74:H74">C62</f>
        <v>-243111.78</v>
      </c>
      <c r="D74" s="141">
        <f t="shared" si="11"/>
        <v>-2892223.61</v>
      </c>
      <c r="E74" s="141">
        <f t="shared" si="11"/>
        <v>-807573.13</v>
      </c>
      <c r="F74" s="141">
        <f t="shared" si="11"/>
        <v>-663553.31</v>
      </c>
      <c r="G74" s="142">
        <f t="shared" si="11"/>
        <v>-3694239.43</v>
      </c>
      <c r="H74" s="186">
        <f t="shared" si="11"/>
        <v>-546125.6</v>
      </c>
    </row>
    <row r="75" spans="1:10" s="16" customFormat="1" ht="14.25" customHeight="1">
      <c r="A75" s="27" t="s">
        <v>91</v>
      </c>
      <c r="B75" s="18" t="s">
        <v>84</v>
      </c>
      <c r="C75" s="306">
        <v>0</v>
      </c>
      <c r="D75" s="306">
        <v>0</v>
      </c>
      <c r="E75" s="306">
        <v>0</v>
      </c>
      <c r="F75" s="306">
        <v>0</v>
      </c>
      <c r="G75" s="307">
        <v>0</v>
      </c>
      <c r="H75" s="308">
        <v>0</v>
      </c>
      <c r="I75" s="304"/>
      <c r="J75" s="304"/>
    </row>
    <row r="76" spans="1:8" s="16" customFormat="1" ht="14.25" customHeight="1">
      <c r="A76" s="27" t="s">
        <v>209</v>
      </c>
      <c r="B76" s="18" t="s">
        <v>81</v>
      </c>
      <c r="C76" s="160">
        <v>0</v>
      </c>
      <c r="D76" s="160">
        <v>0</v>
      </c>
      <c r="E76" s="160">
        <v>0</v>
      </c>
      <c r="F76" s="160">
        <v>0</v>
      </c>
      <c r="G76" s="177">
        <v>0</v>
      </c>
      <c r="H76" s="161">
        <v>0</v>
      </c>
    </row>
    <row r="77" spans="1:8" s="16" customFormat="1" ht="14.25" customHeight="1">
      <c r="A77" s="27" t="s">
        <v>211</v>
      </c>
      <c r="B77" s="18" t="s">
        <v>81</v>
      </c>
      <c r="C77" s="160">
        <v>0</v>
      </c>
      <c r="D77" s="160">
        <v>0</v>
      </c>
      <c r="E77" s="160">
        <v>0</v>
      </c>
      <c r="F77" s="160">
        <v>0</v>
      </c>
      <c r="G77" s="177">
        <v>0</v>
      </c>
      <c r="H77" s="161">
        <v>0</v>
      </c>
    </row>
    <row r="78" spans="1:9" s="16" customFormat="1" ht="14.25" customHeight="1">
      <c r="A78" s="27" t="s">
        <v>212</v>
      </c>
      <c r="B78" s="18" t="s">
        <v>84</v>
      </c>
      <c r="C78" s="306">
        <v>0</v>
      </c>
      <c r="D78" s="306">
        <v>0</v>
      </c>
      <c r="E78" s="306">
        <v>0</v>
      </c>
      <c r="F78" s="306">
        <v>0</v>
      </c>
      <c r="G78" s="307">
        <v>0</v>
      </c>
      <c r="H78" s="308">
        <v>0</v>
      </c>
      <c r="I78" s="304"/>
    </row>
    <row r="79" spans="1:8" s="16" customFormat="1" ht="14.25" customHeight="1">
      <c r="A79" s="27" t="s">
        <v>92</v>
      </c>
      <c r="B79" s="18" t="s">
        <v>97</v>
      </c>
      <c r="C79" s="160">
        <f>-1727.38+1037.69-530.91</f>
        <v>-1220.6</v>
      </c>
      <c r="D79" s="160">
        <f>-97233.33+241.5</f>
        <v>-96991.83</v>
      </c>
      <c r="E79" s="160">
        <v>-7691.82</v>
      </c>
      <c r="F79" s="160">
        <v>0</v>
      </c>
      <c r="G79" s="177">
        <v>0</v>
      </c>
      <c r="H79" s="161">
        <v>0</v>
      </c>
    </row>
    <row r="80" spans="1:9" s="16" customFormat="1" ht="14.25" customHeight="1">
      <c r="A80" s="27" t="s">
        <v>185</v>
      </c>
      <c r="B80" s="18" t="s">
        <v>84</v>
      </c>
      <c r="C80" s="306">
        <v>0</v>
      </c>
      <c r="D80" s="306">
        <v>0</v>
      </c>
      <c r="E80" s="306">
        <v>0</v>
      </c>
      <c r="F80" s="306">
        <v>0</v>
      </c>
      <c r="G80" s="307">
        <v>0</v>
      </c>
      <c r="H80" s="308">
        <v>0</v>
      </c>
      <c r="I80" s="304"/>
    </row>
    <row r="81" spans="1:8" s="16" customFormat="1" ht="14.25" customHeight="1">
      <c r="A81" s="27" t="s">
        <v>93</v>
      </c>
      <c r="B81" s="18" t="s">
        <v>84</v>
      </c>
      <c r="C81" s="264">
        <f>-INVESTMENTS!D15</f>
        <v>-17052.61</v>
      </c>
      <c r="D81" s="264">
        <f>-INVESTMENTS!D16</f>
        <v>0</v>
      </c>
      <c r="E81" s="264">
        <f>-INVESTMENTS!D17</f>
        <v>0</v>
      </c>
      <c r="F81" s="279">
        <f>-INVESTMENTS!D18</f>
        <v>-1077742.83</v>
      </c>
      <c r="G81" s="288">
        <f>-INVESTMENTS!D19</f>
        <v>0</v>
      </c>
      <c r="H81" s="289">
        <f>-INVESTMENTS!D20</f>
        <v>0</v>
      </c>
    </row>
    <row r="82" spans="1:8" s="16" customFormat="1" ht="14.25" customHeight="1">
      <c r="A82" s="27" t="s">
        <v>94</v>
      </c>
      <c r="B82" s="18" t="s">
        <v>81</v>
      </c>
      <c r="C82" s="99">
        <f>INVESTMENTS!E15</f>
        <v>0</v>
      </c>
      <c r="D82" s="99">
        <f>INVESTMENTS!E16</f>
        <v>0</v>
      </c>
      <c r="E82" s="99">
        <f>INVESTMENTS!E17</f>
        <v>0</v>
      </c>
      <c r="F82" s="131">
        <f>INVESTMENTS!E18</f>
        <v>0</v>
      </c>
      <c r="G82" s="309">
        <f>INVESTMENTS!E19</f>
        <v>0</v>
      </c>
      <c r="H82" s="140">
        <f>INVESTMENTS!E20</f>
        <v>0</v>
      </c>
    </row>
    <row r="83" spans="1:8" s="16" customFormat="1" ht="14.25" customHeight="1">
      <c r="A83" s="27" t="s">
        <v>95</v>
      </c>
      <c r="B83" s="18" t="s">
        <v>84</v>
      </c>
      <c r="C83" s="141">
        <f aca="true" t="shared" si="12" ref="C83:H83">-(C68)</f>
        <v>0</v>
      </c>
      <c r="D83" s="141">
        <f t="shared" si="12"/>
        <v>0</v>
      </c>
      <c r="E83" s="141">
        <f t="shared" si="12"/>
        <v>0</v>
      </c>
      <c r="F83" s="141">
        <f t="shared" si="12"/>
        <v>0</v>
      </c>
      <c r="G83" s="142">
        <f t="shared" si="12"/>
        <v>0</v>
      </c>
      <c r="H83" s="186">
        <f t="shared" si="12"/>
        <v>0</v>
      </c>
    </row>
    <row r="84" spans="1:8" s="16" customFormat="1" ht="14.25" customHeight="1">
      <c r="A84" s="27" t="s">
        <v>96</v>
      </c>
      <c r="B84" s="18" t="s">
        <v>88</v>
      </c>
      <c r="C84" s="269">
        <f aca="true" t="shared" si="13" ref="C84:H84">C71+SUM(C73:C83)</f>
        <v>229284.07</v>
      </c>
      <c r="D84" s="269">
        <f t="shared" si="13"/>
        <v>313108.55</v>
      </c>
      <c r="E84" s="269">
        <f t="shared" si="13"/>
        <v>392210.22</v>
      </c>
      <c r="F84" s="269">
        <f t="shared" si="13"/>
        <v>8726428.06</v>
      </c>
      <c r="G84" s="270">
        <f t="shared" si="13"/>
        <v>-6371688.26</v>
      </c>
      <c r="H84" s="271">
        <f t="shared" si="13"/>
        <v>35930.9</v>
      </c>
    </row>
    <row r="85" spans="1:8" s="16" customFormat="1" ht="14.25" customHeight="1">
      <c r="A85" s="27" t="s">
        <v>203</v>
      </c>
      <c r="B85" s="18" t="s">
        <v>97</v>
      </c>
      <c r="C85" s="160">
        <v>0</v>
      </c>
      <c r="D85" s="160">
        <v>0</v>
      </c>
      <c r="E85" s="160">
        <v>0</v>
      </c>
      <c r="F85" s="160">
        <v>0</v>
      </c>
      <c r="G85" s="177">
        <v>0</v>
      </c>
      <c r="H85" s="161">
        <v>0</v>
      </c>
    </row>
    <row r="86" spans="1:8" s="16" customFormat="1" ht="14.25" customHeight="1">
      <c r="A86" s="319" t="s">
        <v>232</v>
      </c>
      <c r="B86" s="18" t="s">
        <v>97</v>
      </c>
      <c r="C86" s="131">
        <f>'CASH REPORT'!C101</f>
        <v>0</v>
      </c>
      <c r="D86" s="131">
        <f>'CASH REPORT'!D101</f>
        <v>0</v>
      </c>
      <c r="E86" s="131">
        <f>'CASH REPORT'!E101</f>
        <v>0</v>
      </c>
      <c r="F86" s="131">
        <f>'CASH REPORT'!F101</f>
        <v>0</v>
      </c>
      <c r="G86" s="131">
        <f>'CASH REPORT'!G101</f>
        <v>0</v>
      </c>
      <c r="H86" s="131">
        <f>'CASH REPORT'!H101</f>
        <v>0</v>
      </c>
    </row>
    <row r="87" spans="1:8" s="16" customFormat="1" ht="14.25" customHeight="1">
      <c r="A87" s="27" t="s">
        <v>98</v>
      </c>
      <c r="B87" s="18" t="s">
        <v>99</v>
      </c>
      <c r="C87" s="269">
        <f aca="true" t="shared" si="14" ref="C87:H87">C84+C85+C86</f>
        <v>229284.07</v>
      </c>
      <c r="D87" s="269">
        <f t="shared" si="14"/>
        <v>313108.55</v>
      </c>
      <c r="E87" s="269">
        <f t="shared" si="14"/>
        <v>392210.22</v>
      </c>
      <c r="F87" s="269">
        <f t="shared" si="14"/>
        <v>8726428.06</v>
      </c>
      <c r="G87" s="270">
        <f t="shared" si="14"/>
        <v>-6371688.26</v>
      </c>
      <c r="H87" s="271">
        <f t="shared" si="14"/>
        <v>35930.9</v>
      </c>
    </row>
    <row r="88" spans="1:8" s="16" customFormat="1" ht="14.25" customHeight="1">
      <c r="A88" s="27" t="s">
        <v>100</v>
      </c>
      <c r="B88" s="18" t="s">
        <v>101</v>
      </c>
      <c r="C88" s="99">
        <f>INVESTMENTS!F15</f>
        <v>237052.61</v>
      </c>
      <c r="D88" s="99">
        <f>INVESTMENTS!F16</f>
        <v>0</v>
      </c>
      <c r="E88" s="99">
        <f>INVESTMENTS!F17</f>
        <v>0</v>
      </c>
      <c r="F88" s="131">
        <f>INVESTMENTS!F18</f>
        <v>7077742.83</v>
      </c>
      <c r="G88" s="309">
        <f>INVESTMENTS!F19</f>
        <v>0</v>
      </c>
      <c r="H88" s="140">
        <f>INVESTMENTS!F20</f>
        <v>1280000</v>
      </c>
    </row>
    <row r="89" spans="1:8" s="16" customFormat="1" ht="14.25" customHeight="1">
      <c r="A89" s="39"/>
      <c r="B89" s="40"/>
      <c r="C89" s="40"/>
      <c r="D89" s="40"/>
      <c r="E89" s="40"/>
      <c r="F89" s="40"/>
      <c r="G89" s="40"/>
      <c r="H89" s="41"/>
    </row>
    <row r="90" spans="1:8" s="16" customFormat="1" ht="14.25" customHeight="1">
      <c r="A90" s="42" t="s">
        <v>102</v>
      </c>
      <c r="B90" s="34" t="s">
        <v>88</v>
      </c>
      <c r="C90" s="272">
        <f aca="true" t="shared" si="15" ref="C90:H90">C87+C88</f>
        <v>466336.68</v>
      </c>
      <c r="D90" s="272">
        <f t="shared" si="15"/>
        <v>313108.55</v>
      </c>
      <c r="E90" s="272">
        <f t="shared" si="15"/>
        <v>392210.22</v>
      </c>
      <c r="F90" s="272">
        <f t="shared" si="15"/>
        <v>15804170.89</v>
      </c>
      <c r="G90" s="272">
        <f t="shared" si="15"/>
        <v>-6371688.26</v>
      </c>
      <c r="H90" s="273">
        <f t="shared" si="15"/>
        <v>1315930.9</v>
      </c>
    </row>
    <row r="91" spans="1:8" s="16" customFormat="1" ht="14.25" customHeight="1">
      <c r="A91" s="23"/>
      <c r="B91" s="24"/>
      <c r="C91" s="24"/>
      <c r="D91" s="24"/>
      <c r="E91" s="24"/>
      <c r="F91" s="24"/>
      <c r="G91" s="25"/>
      <c r="H91" s="26"/>
    </row>
    <row r="92" spans="1:8" s="16" customFormat="1" ht="14.25" customHeight="1">
      <c r="A92" s="27" t="s">
        <v>103</v>
      </c>
      <c r="B92" s="36"/>
      <c r="C92" s="36"/>
      <c r="D92" s="36"/>
      <c r="E92" s="36"/>
      <c r="F92" s="36"/>
      <c r="G92" s="37"/>
      <c r="H92" s="38"/>
    </row>
    <row r="93" spans="1:8" s="16" customFormat="1" ht="14.25" customHeight="1">
      <c r="A93" s="27" t="s">
        <v>104</v>
      </c>
      <c r="B93" s="18" t="s">
        <v>81</v>
      </c>
      <c r="C93" s="160">
        <v>229501.08</v>
      </c>
      <c r="D93" s="160">
        <v>313108.55</v>
      </c>
      <c r="E93" s="160">
        <v>392210.22</v>
      </c>
      <c r="F93" s="160">
        <v>8726428.06</v>
      </c>
      <c r="G93" s="177">
        <v>-6371688.26</v>
      </c>
      <c r="H93" s="161">
        <v>35930.9</v>
      </c>
    </row>
    <row r="94" spans="1:9" s="16" customFormat="1" ht="14.25" customHeight="1">
      <c r="A94" s="27" t="s">
        <v>105</v>
      </c>
      <c r="B94" s="18" t="s">
        <v>97</v>
      </c>
      <c r="C94" s="160">
        <v>-217.01</v>
      </c>
      <c r="D94" s="160">
        <f>D85</f>
        <v>0</v>
      </c>
      <c r="E94" s="160">
        <f>E85</f>
        <v>0</v>
      </c>
      <c r="F94" s="160">
        <f>F85</f>
        <v>0</v>
      </c>
      <c r="G94" s="160">
        <f>G85</f>
        <v>0</v>
      </c>
      <c r="H94" s="161">
        <f>H85</f>
        <v>0</v>
      </c>
      <c r="I94" s="190"/>
    </row>
    <row r="95" spans="1:8" s="16" customFormat="1" ht="14.25" customHeight="1">
      <c r="A95" s="27" t="s">
        <v>106</v>
      </c>
      <c r="B95" s="18" t="s">
        <v>97</v>
      </c>
      <c r="C95" s="160">
        <v>0</v>
      </c>
      <c r="D95" s="160">
        <v>0</v>
      </c>
      <c r="E95" s="160">
        <v>0</v>
      </c>
      <c r="F95" s="160">
        <v>0</v>
      </c>
      <c r="G95" s="177">
        <v>0</v>
      </c>
      <c r="H95" s="161">
        <v>0</v>
      </c>
    </row>
    <row r="96" spans="1:8" s="16" customFormat="1" ht="14.25" customHeight="1">
      <c r="A96" s="27" t="s">
        <v>107</v>
      </c>
      <c r="B96" s="18" t="s">
        <v>97</v>
      </c>
      <c r="C96" s="131">
        <f aca="true" t="shared" si="16" ref="C96:H96">C86</f>
        <v>0</v>
      </c>
      <c r="D96" s="131">
        <f t="shared" si="16"/>
        <v>0</v>
      </c>
      <c r="E96" s="131">
        <f t="shared" si="16"/>
        <v>0</v>
      </c>
      <c r="F96" s="131">
        <f t="shared" si="16"/>
        <v>0</v>
      </c>
      <c r="G96" s="131">
        <f t="shared" si="16"/>
        <v>0</v>
      </c>
      <c r="H96" s="131">
        <f t="shared" si="16"/>
        <v>0</v>
      </c>
    </row>
    <row r="97" spans="1:8" s="16" customFormat="1" ht="14.25" customHeight="1">
      <c r="A97" s="33" t="s">
        <v>108</v>
      </c>
      <c r="B97" s="34" t="s">
        <v>84</v>
      </c>
      <c r="C97" s="162">
        <f aca="true" t="shared" si="17" ref="C97:H97">-(C68)</f>
        <v>0</v>
      </c>
      <c r="D97" s="162">
        <f t="shared" si="17"/>
        <v>0</v>
      </c>
      <c r="E97" s="162">
        <f t="shared" si="17"/>
        <v>0</v>
      </c>
      <c r="F97" s="162">
        <f t="shared" si="17"/>
        <v>0</v>
      </c>
      <c r="G97" s="162">
        <f t="shared" si="17"/>
        <v>0</v>
      </c>
      <c r="H97" s="163">
        <f t="shared" si="17"/>
        <v>0</v>
      </c>
    </row>
    <row r="98" spans="1:8" s="16" customFormat="1" ht="14.25" customHeight="1">
      <c r="A98" s="23"/>
      <c r="B98" s="24"/>
      <c r="C98" s="187"/>
      <c r="D98" s="187"/>
      <c r="E98" s="187"/>
      <c r="F98" s="187"/>
      <c r="G98" s="188"/>
      <c r="H98" s="189"/>
    </row>
    <row r="99" spans="1:8" s="16" customFormat="1" ht="14.25" customHeight="1">
      <c r="A99" s="33" t="s">
        <v>109</v>
      </c>
      <c r="B99" s="34" t="s">
        <v>88</v>
      </c>
      <c r="C99" s="272">
        <f aca="true" t="shared" si="18" ref="C99:H99">SUM(C93:C97)</f>
        <v>229284.07</v>
      </c>
      <c r="D99" s="272">
        <f t="shared" si="18"/>
        <v>313108.55</v>
      </c>
      <c r="E99" s="272">
        <f t="shared" si="18"/>
        <v>392210.22</v>
      </c>
      <c r="F99" s="272">
        <f t="shared" si="18"/>
        <v>8726428.06</v>
      </c>
      <c r="G99" s="272">
        <f t="shared" si="18"/>
        <v>-6371688.26</v>
      </c>
      <c r="H99" s="273">
        <f t="shared" si="18"/>
        <v>35930.9</v>
      </c>
    </row>
    <row r="100" spans="1:8" s="16" customFormat="1" ht="14.25" customHeight="1">
      <c r="A100" s="80" t="s">
        <v>195</v>
      </c>
      <c r="B100" s="24"/>
      <c r="C100" s="52" t="str">
        <f aca="true" t="shared" si="19" ref="C100:H100">IF(C87=C99," ","NOT BALANCED")</f>
        <v> </v>
      </c>
      <c r="D100" s="52" t="str">
        <f t="shared" si="19"/>
        <v> </v>
      </c>
      <c r="E100" s="52" t="str">
        <f t="shared" si="19"/>
        <v> </v>
      </c>
      <c r="F100" s="52" t="str">
        <f t="shared" si="19"/>
        <v> </v>
      </c>
      <c r="G100" s="52" t="str">
        <f t="shared" si="19"/>
        <v> </v>
      </c>
      <c r="H100" s="52" t="str">
        <f t="shared" si="19"/>
        <v> </v>
      </c>
    </row>
    <row r="101" spans="1:7" s="16" customFormat="1" ht="14.25" customHeight="1">
      <c r="A101" s="43" t="s">
        <v>110</v>
      </c>
      <c r="B101" s="36"/>
      <c r="C101" s="36"/>
      <c r="D101" s="36"/>
      <c r="E101" s="36"/>
      <c r="F101" s="36"/>
      <c r="G101" s="36"/>
    </row>
    <row r="102" spans="1:7" s="16" customFormat="1" ht="14.25" customHeight="1">
      <c r="A102" s="36"/>
      <c r="B102" s="36"/>
      <c r="C102" s="36"/>
      <c r="D102" s="36"/>
      <c r="E102" s="36"/>
      <c r="F102" s="36"/>
      <c r="G102" s="36"/>
    </row>
    <row r="103" spans="1:7" s="16" customFormat="1" ht="14.25" customHeight="1">
      <c r="A103" s="44" t="str">
        <f>A1</f>
        <v>SCHOOL DISTRICT/CHARTER:  GADSDEN</v>
      </c>
      <c r="B103" s="36"/>
      <c r="C103" s="36"/>
      <c r="D103" s="36"/>
      <c r="E103" s="43" t="s">
        <v>25</v>
      </c>
      <c r="F103" s="36" t="s">
        <v>1</v>
      </c>
      <c r="G103" s="44" t="str">
        <f>G1</f>
        <v>DONA ANA</v>
      </c>
    </row>
    <row r="104" spans="1:7" s="16" customFormat="1" ht="14.25" customHeight="1">
      <c r="A104" s="36" t="str">
        <f>A53</f>
        <v>Month/Quarter:                      MARCH 2005</v>
      </c>
      <c r="B104" s="36"/>
      <c r="C104" s="36"/>
      <c r="D104" s="46"/>
      <c r="E104" s="36"/>
      <c r="F104" s="47" t="s">
        <v>2</v>
      </c>
      <c r="G104" s="257" t="str">
        <f>G2</f>
        <v>19</v>
      </c>
    </row>
    <row r="105" spans="1:7" s="16" customFormat="1" ht="14.25" customHeight="1">
      <c r="A105" s="24"/>
      <c r="B105" s="24"/>
      <c r="C105" s="24"/>
      <c r="D105" s="24"/>
      <c r="E105" s="24"/>
      <c r="F105" s="24"/>
      <c r="G105" s="24"/>
    </row>
    <row r="106" spans="1:8" s="16" customFormat="1" ht="14.25" customHeight="1">
      <c r="A106" s="105"/>
      <c r="B106" s="102"/>
      <c r="C106" s="49" t="s">
        <v>126</v>
      </c>
      <c r="D106" s="49" t="s">
        <v>116</v>
      </c>
      <c r="E106" s="49" t="s">
        <v>127</v>
      </c>
      <c r="F106" s="49" t="s">
        <v>127</v>
      </c>
      <c r="G106" s="49" t="s">
        <v>128</v>
      </c>
      <c r="H106" s="50" t="s">
        <v>129</v>
      </c>
    </row>
    <row r="107" spans="1:8" s="16" customFormat="1" ht="14.25" customHeight="1">
      <c r="A107" s="94"/>
      <c r="B107" s="36"/>
      <c r="C107" s="18" t="s">
        <v>130</v>
      </c>
      <c r="D107" s="18" t="s">
        <v>131</v>
      </c>
      <c r="E107" s="19" t="s">
        <v>132</v>
      </c>
      <c r="F107" s="19" t="s">
        <v>133</v>
      </c>
      <c r="G107" s="18" t="s">
        <v>134</v>
      </c>
      <c r="H107" s="20" t="s">
        <v>135</v>
      </c>
    </row>
    <row r="108" spans="1:8" s="98" customFormat="1" ht="14.25" customHeight="1">
      <c r="A108" s="95"/>
      <c r="B108" s="96"/>
      <c r="C108" s="86" t="s">
        <v>136</v>
      </c>
      <c r="D108" s="86" t="s">
        <v>137</v>
      </c>
      <c r="E108" s="86" t="s">
        <v>138</v>
      </c>
      <c r="F108" s="86" t="s">
        <v>139</v>
      </c>
      <c r="G108" s="86" t="s">
        <v>140</v>
      </c>
      <c r="H108" s="90" t="s">
        <v>141</v>
      </c>
    </row>
    <row r="109" spans="1:8" s="16" customFormat="1" ht="14.25" customHeight="1">
      <c r="A109" s="23"/>
      <c r="B109" s="24"/>
      <c r="C109" s="24" t="s">
        <v>25</v>
      </c>
      <c r="D109" s="24"/>
      <c r="E109" s="25"/>
      <c r="F109" s="25"/>
      <c r="G109" s="24"/>
      <c r="H109" s="26" t="s">
        <v>25</v>
      </c>
    </row>
    <row r="110" spans="1:8" s="16" customFormat="1" ht="14.25" customHeight="1">
      <c r="A110" s="27" t="s">
        <v>79</v>
      </c>
      <c r="B110" s="36"/>
      <c r="C110" s="28"/>
      <c r="D110" s="28"/>
      <c r="E110" s="28"/>
      <c r="F110" s="28"/>
      <c r="G110" s="29"/>
      <c r="H110" s="30"/>
    </row>
    <row r="111" spans="1:8" s="16" customFormat="1" ht="14.25" customHeight="1">
      <c r="A111" s="27" t="s">
        <v>80</v>
      </c>
      <c r="B111" s="18" t="s">
        <v>81</v>
      </c>
      <c r="C111" s="263">
        <v>0</v>
      </c>
      <c r="D111" s="160">
        <v>0</v>
      </c>
      <c r="E111" s="160">
        <v>0</v>
      </c>
      <c r="F111" s="160">
        <v>0</v>
      </c>
      <c r="G111" s="177">
        <v>0</v>
      </c>
      <c r="H111" s="161">
        <v>0</v>
      </c>
    </row>
    <row r="112" spans="1:8" s="16" customFormat="1" ht="14.25" customHeight="1">
      <c r="A112" s="27" t="s">
        <v>82</v>
      </c>
      <c r="B112" s="18" t="s">
        <v>81</v>
      </c>
      <c r="C112" s="263">
        <v>-3917.41</v>
      </c>
      <c r="D112" s="160">
        <v>0</v>
      </c>
      <c r="E112" s="160">
        <v>0</v>
      </c>
      <c r="F112" s="160">
        <v>432055.66</v>
      </c>
      <c r="G112" s="177">
        <v>67268.52</v>
      </c>
      <c r="H112" s="161">
        <v>0</v>
      </c>
    </row>
    <row r="113" spans="1:8" s="16" customFormat="1" ht="14.25" customHeight="1">
      <c r="A113" s="27" t="s">
        <v>83</v>
      </c>
      <c r="B113" s="18" t="s">
        <v>84</v>
      </c>
      <c r="C113" s="302">
        <v>3917.41</v>
      </c>
      <c r="D113" s="306">
        <v>0</v>
      </c>
      <c r="E113" s="306">
        <v>0</v>
      </c>
      <c r="F113" s="306">
        <v>-432055.66</v>
      </c>
      <c r="G113" s="307">
        <v>-67268.52</v>
      </c>
      <c r="H113" s="308">
        <v>0</v>
      </c>
    </row>
    <row r="114" spans="1:8" s="16" customFormat="1" ht="14.25" customHeight="1">
      <c r="A114" s="27" t="s">
        <v>205</v>
      </c>
      <c r="B114" s="18" t="s">
        <v>84</v>
      </c>
      <c r="C114" s="302">
        <v>0</v>
      </c>
      <c r="D114" s="306">
        <v>0</v>
      </c>
      <c r="E114" s="306">
        <v>0</v>
      </c>
      <c r="F114" s="306">
        <v>0</v>
      </c>
      <c r="G114" s="307">
        <v>0</v>
      </c>
      <c r="H114" s="308">
        <v>0</v>
      </c>
    </row>
    <row r="115" spans="1:8" s="16" customFormat="1" ht="14.25" customHeight="1">
      <c r="A115" s="27" t="s">
        <v>204</v>
      </c>
      <c r="B115" s="18" t="s">
        <v>84</v>
      </c>
      <c r="C115" s="302">
        <v>0</v>
      </c>
      <c r="D115" s="306">
        <v>0</v>
      </c>
      <c r="E115" s="306">
        <v>0</v>
      </c>
      <c r="F115" s="306">
        <v>0</v>
      </c>
      <c r="G115" s="307">
        <v>0</v>
      </c>
      <c r="H115" s="308">
        <v>0</v>
      </c>
    </row>
    <row r="116" spans="1:8" s="16" customFormat="1" ht="14.25" customHeight="1">
      <c r="A116" s="31" t="s">
        <v>85</v>
      </c>
      <c r="B116" s="18" t="s">
        <v>81</v>
      </c>
      <c r="C116" s="263">
        <v>0</v>
      </c>
      <c r="D116" s="160">
        <v>0</v>
      </c>
      <c r="E116" s="160">
        <v>0</v>
      </c>
      <c r="F116" s="160">
        <v>0</v>
      </c>
      <c r="G116" s="177">
        <v>0</v>
      </c>
      <c r="H116" s="161">
        <v>0</v>
      </c>
    </row>
    <row r="117" spans="1:8" s="16" customFormat="1" ht="14.25" customHeight="1">
      <c r="A117" s="31" t="s">
        <v>85</v>
      </c>
      <c r="B117" s="18" t="s">
        <v>84</v>
      </c>
      <c r="C117" s="302">
        <v>0</v>
      </c>
      <c r="D117" s="306">
        <v>0</v>
      </c>
      <c r="E117" s="306">
        <v>0</v>
      </c>
      <c r="F117" s="306">
        <v>0</v>
      </c>
      <c r="G117" s="307">
        <v>0</v>
      </c>
      <c r="H117" s="308">
        <v>0</v>
      </c>
    </row>
    <row r="118" spans="1:8" s="16" customFormat="1" ht="14.25" customHeight="1">
      <c r="A118" s="32" t="s">
        <v>86</v>
      </c>
      <c r="B118" s="102"/>
      <c r="C118" s="102"/>
      <c r="D118" s="102"/>
      <c r="E118" s="102"/>
      <c r="F118" s="102"/>
      <c r="G118" s="102"/>
      <c r="H118" s="103"/>
    </row>
    <row r="119" spans="1:8" s="16" customFormat="1" ht="14.25" customHeight="1">
      <c r="A119" s="33" t="s">
        <v>87</v>
      </c>
      <c r="B119" s="34" t="s">
        <v>88</v>
      </c>
      <c r="C119" s="272">
        <f aca="true" t="shared" si="20" ref="C119:H119">SUM(C111:C117)</f>
        <v>0</v>
      </c>
      <c r="D119" s="272">
        <f t="shared" si="20"/>
        <v>0</v>
      </c>
      <c r="E119" s="272">
        <f t="shared" si="20"/>
        <v>0</v>
      </c>
      <c r="F119" s="272">
        <f t="shared" si="20"/>
        <v>0</v>
      </c>
      <c r="G119" s="272">
        <f t="shared" si="20"/>
        <v>0</v>
      </c>
      <c r="H119" s="273">
        <f t="shared" si="20"/>
        <v>0</v>
      </c>
    </row>
    <row r="120" spans="1:8" s="16" customFormat="1" ht="14.25" customHeight="1">
      <c r="A120" s="23"/>
      <c r="B120" s="24"/>
      <c r="C120" s="24"/>
      <c r="D120" s="24"/>
      <c r="E120" s="24"/>
      <c r="F120" s="24"/>
      <c r="G120" s="25"/>
      <c r="H120" s="26"/>
    </row>
    <row r="121" spans="1:8" s="16" customFormat="1" ht="14.25" customHeight="1">
      <c r="A121" s="27" t="s">
        <v>89</v>
      </c>
      <c r="B121" s="36"/>
      <c r="C121" s="36"/>
      <c r="D121" s="36"/>
      <c r="E121" s="36"/>
      <c r="F121" s="36"/>
      <c r="G121" s="37"/>
      <c r="H121" s="38"/>
    </row>
    <row r="122" spans="1:8" s="16" customFormat="1" ht="14.25" customHeight="1">
      <c r="A122" s="27" t="s">
        <v>90</v>
      </c>
      <c r="B122" s="18" t="s">
        <v>81</v>
      </c>
      <c r="C122" s="160">
        <v>-211840.86</v>
      </c>
      <c r="D122" s="160">
        <v>0</v>
      </c>
      <c r="E122" s="160">
        <v>0</v>
      </c>
      <c r="F122" s="160">
        <v>-325371.7</v>
      </c>
      <c r="G122" s="177">
        <v>20844.27</v>
      </c>
      <c r="H122" s="161">
        <v>0</v>
      </c>
    </row>
    <row r="123" spans="1:8" s="16" customFormat="1" ht="14.25" customHeight="1">
      <c r="A123" s="27" t="s">
        <v>208</v>
      </c>
      <c r="B123" s="36"/>
      <c r="C123" s="130"/>
      <c r="D123" s="130"/>
      <c r="E123" s="130"/>
      <c r="F123" s="130"/>
      <c r="G123" s="139"/>
      <c r="H123" s="71"/>
    </row>
    <row r="124" spans="1:8" s="16" customFormat="1" ht="14.25" customHeight="1">
      <c r="A124" s="82" t="s">
        <v>207</v>
      </c>
      <c r="B124" s="18" t="s">
        <v>81</v>
      </c>
      <c r="C124" s="160">
        <v>94453.97</v>
      </c>
      <c r="D124" s="160">
        <v>0</v>
      </c>
      <c r="E124" s="160">
        <v>0</v>
      </c>
      <c r="F124" s="160">
        <v>983245.56</v>
      </c>
      <c r="G124" s="177">
        <v>66397.53</v>
      </c>
      <c r="H124" s="161">
        <v>1540169</v>
      </c>
    </row>
    <row r="125" spans="1:8" s="16" customFormat="1" ht="14.25" customHeight="1">
      <c r="A125" s="27" t="s">
        <v>83</v>
      </c>
      <c r="B125" s="18" t="s">
        <v>84</v>
      </c>
      <c r="C125" s="141">
        <f aca="true" t="shared" si="21" ref="C125:H125">C113</f>
        <v>3917.41</v>
      </c>
      <c r="D125" s="141">
        <f t="shared" si="21"/>
        <v>0</v>
      </c>
      <c r="E125" s="141">
        <f t="shared" si="21"/>
        <v>0</v>
      </c>
      <c r="F125" s="141">
        <f t="shared" si="21"/>
        <v>-432055.66</v>
      </c>
      <c r="G125" s="142">
        <f t="shared" si="21"/>
        <v>-67268.52</v>
      </c>
      <c r="H125" s="186">
        <f t="shared" si="21"/>
        <v>0</v>
      </c>
    </row>
    <row r="126" spans="1:9" s="16" customFormat="1" ht="14.25" customHeight="1">
      <c r="A126" s="27" t="s">
        <v>91</v>
      </c>
      <c r="B126" s="18" t="s">
        <v>84</v>
      </c>
      <c r="C126" s="306">
        <v>0</v>
      </c>
      <c r="D126" s="306">
        <v>0</v>
      </c>
      <c r="E126" s="306">
        <v>0</v>
      </c>
      <c r="F126" s="306">
        <v>0</v>
      </c>
      <c r="G126" s="306">
        <v>0</v>
      </c>
      <c r="H126" s="306">
        <v>0</v>
      </c>
      <c r="I126" s="304"/>
    </row>
    <row r="127" spans="1:8" s="16" customFormat="1" ht="14.25" customHeight="1">
      <c r="A127" s="27" t="s">
        <v>209</v>
      </c>
      <c r="B127" s="18" t="s">
        <v>81</v>
      </c>
      <c r="C127" s="160">
        <v>0</v>
      </c>
      <c r="D127" s="160">
        <v>0</v>
      </c>
      <c r="E127" s="160">
        <v>0</v>
      </c>
      <c r="F127" s="160">
        <v>0</v>
      </c>
      <c r="G127" s="160">
        <v>0</v>
      </c>
      <c r="H127" s="160">
        <v>0</v>
      </c>
    </row>
    <row r="128" spans="1:8" s="16" customFormat="1" ht="14.25" customHeight="1">
      <c r="A128" s="27" t="s">
        <v>211</v>
      </c>
      <c r="B128" s="18" t="s">
        <v>81</v>
      </c>
      <c r="C128" s="160">
        <v>0</v>
      </c>
      <c r="D128" s="160">
        <v>0</v>
      </c>
      <c r="E128" s="160">
        <v>0</v>
      </c>
      <c r="F128" s="160">
        <v>0</v>
      </c>
      <c r="G128" s="160">
        <v>0</v>
      </c>
      <c r="H128" s="160">
        <v>0</v>
      </c>
    </row>
    <row r="129" spans="1:9" s="16" customFormat="1" ht="14.25" customHeight="1">
      <c r="A129" s="27" t="s">
        <v>212</v>
      </c>
      <c r="B129" s="18" t="s">
        <v>84</v>
      </c>
      <c r="C129" s="306">
        <v>0</v>
      </c>
      <c r="D129" s="306">
        <v>0</v>
      </c>
      <c r="E129" s="306">
        <v>0</v>
      </c>
      <c r="F129" s="306">
        <v>0</v>
      </c>
      <c r="G129" s="306">
        <v>0</v>
      </c>
      <c r="H129" s="306">
        <v>0</v>
      </c>
      <c r="I129" s="304"/>
    </row>
    <row r="130" spans="1:8" s="16" customFormat="1" ht="14.25" customHeight="1">
      <c r="A130" s="27" t="s">
        <v>92</v>
      </c>
      <c r="B130" s="18" t="s">
        <v>97</v>
      </c>
      <c r="C130" s="160">
        <v>0</v>
      </c>
      <c r="D130" s="160">
        <v>0</v>
      </c>
      <c r="E130" s="160">
        <v>0</v>
      </c>
      <c r="F130" s="160">
        <v>0</v>
      </c>
      <c r="G130" s="160">
        <v>0</v>
      </c>
      <c r="H130" s="160">
        <v>0</v>
      </c>
    </row>
    <row r="131" spans="1:9" s="16" customFormat="1" ht="14.25" customHeight="1">
      <c r="A131" s="27" t="s">
        <v>185</v>
      </c>
      <c r="B131" s="18" t="s">
        <v>84</v>
      </c>
      <c r="C131" s="306">
        <v>0</v>
      </c>
      <c r="D131" s="306">
        <v>0</v>
      </c>
      <c r="E131" s="306">
        <v>0</v>
      </c>
      <c r="F131" s="306">
        <v>0</v>
      </c>
      <c r="G131" s="306">
        <v>0</v>
      </c>
      <c r="H131" s="306">
        <v>0</v>
      </c>
      <c r="I131" s="304"/>
    </row>
    <row r="132" spans="1:9" s="16" customFormat="1" ht="14.25" customHeight="1">
      <c r="A132" s="27" t="s">
        <v>93</v>
      </c>
      <c r="B132" s="18" t="s">
        <v>84</v>
      </c>
      <c r="C132" s="303">
        <f>-INVESTMENTS!D21</f>
        <v>0</v>
      </c>
      <c r="D132" s="303">
        <f>-INVESTMENTS!D22</f>
        <v>0</v>
      </c>
      <c r="E132" s="303">
        <f>-INVESTMENTS!D23</f>
        <v>0</v>
      </c>
      <c r="F132" s="303">
        <f>-INVESTMENTS!D24</f>
        <v>0</v>
      </c>
      <c r="G132" s="310">
        <f>-INVESTMENTS!D25</f>
        <v>0</v>
      </c>
      <c r="H132" s="311">
        <f>-INVESTMENTS!D26</f>
        <v>0</v>
      </c>
      <c r="I132" s="304"/>
    </row>
    <row r="133" spans="1:9" s="16" customFormat="1" ht="14.25" customHeight="1">
      <c r="A133" s="27" t="s">
        <v>94</v>
      </c>
      <c r="B133" s="18" t="s">
        <v>81</v>
      </c>
      <c r="C133" s="131">
        <f>INVESTMENTS!E21</f>
        <v>0</v>
      </c>
      <c r="D133" s="131">
        <f>INVESTMENTS!E22</f>
        <v>0</v>
      </c>
      <c r="E133" s="131">
        <f>INVESTMENTS!E23</f>
        <v>0</v>
      </c>
      <c r="F133" s="131">
        <f>INVESTMENTS!E24</f>
        <v>0</v>
      </c>
      <c r="G133" s="309">
        <f>INVESTMENTS!E25</f>
        <v>0</v>
      </c>
      <c r="H133" s="140">
        <f>INVESTMENTS!E26</f>
        <v>0</v>
      </c>
      <c r="I133" s="178"/>
    </row>
    <row r="134" spans="1:8" s="16" customFormat="1" ht="14.25" customHeight="1">
      <c r="A134" s="27" t="s">
        <v>95</v>
      </c>
      <c r="B134" s="18" t="s">
        <v>84</v>
      </c>
      <c r="C134" s="141">
        <f aca="true" t="shared" si="22" ref="C134:H134">-(C119)</f>
        <v>0</v>
      </c>
      <c r="D134" s="141">
        <f t="shared" si="22"/>
        <v>0</v>
      </c>
      <c r="E134" s="141">
        <f t="shared" si="22"/>
        <v>0</v>
      </c>
      <c r="F134" s="141">
        <f t="shared" si="22"/>
        <v>0</v>
      </c>
      <c r="G134" s="142">
        <f t="shared" si="22"/>
        <v>0</v>
      </c>
      <c r="H134" s="186">
        <f t="shared" si="22"/>
        <v>0</v>
      </c>
    </row>
    <row r="135" spans="1:8" s="16" customFormat="1" ht="14.25" customHeight="1">
      <c r="A135" s="27" t="s">
        <v>96</v>
      </c>
      <c r="B135" s="18" t="s">
        <v>88</v>
      </c>
      <c r="C135" s="269">
        <f aca="true" t="shared" si="23" ref="C135:H135">C122+SUM(C124:C134)</f>
        <v>-113469.48</v>
      </c>
      <c r="D135" s="269">
        <f t="shared" si="23"/>
        <v>0</v>
      </c>
      <c r="E135" s="269">
        <f t="shared" si="23"/>
        <v>0</v>
      </c>
      <c r="F135" s="269">
        <f t="shared" si="23"/>
        <v>225818.2</v>
      </c>
      <c r="G135" s="270">
        <f t="shared" si="23"/>
        <v>19973.28</v>
      </c>
      <c r="H135" s="271">
        <f t="shared" si="23"/>
        <v>1540169</v>
      </c>
    </row>
    <row r="136" spans="1:8" s="16" customFormat="1" ht="14.25" customHeight="1">
      <c r="A136" s="27" t="s">
        <v>203</v>
      </c>
      <c r="B136" s="18" t="s">
        <v>97</v>
      </c>
      <c r="C136" s="160">
        <v>0</v>
      </c>
      <c r="D136" s="160">
        <v>0</v>
      </c>
      <c r="E136" s="160">
        <v>0</v>
      </c>
      <c r="F136" s="160">
        <v>0</v>
      </c>
      <c r="G136" s="177">
        <v>0</v>
      </c>
      <c r="H136" s="161">
        <v>0</v>
      </c>
    </row>
    <row r="137" spans="1:9" s="16" customFormat="1" ht="14.25" customHeight="1">
      <c r="A137" s="319" t="s">
        <v>232</v>
      </c>
      <c r="B137" s="18" t="s">
        <v>97</v>
      </c>
      <c r="C137" s="131">
        <f>'CASH REPORT'!C153</f>
        <v>0</v>
      </c>
      <c r="D137" s="131">
        <f>'CASH REPORT'!D153</f>
        <v>0</v>
      </c>
      <c r="E137" s="131">
        <f>'CASH REPORT'!E153</f>
        <v>0</v>
      </c>
      <c r="F137" s="131">
        <f>'CASH REPORT'!F153</f>
        <v>0</v>
      </c>
      <c r="G137" s="131">
        <f>'CASH REPORT'!G153</f>
        <v>0</v>
      </c>
      <c r="H137" s="131">
        <f>'CASH REPORT'!H153</f>
        <v>0</v>
      </c>
      <c r="I137" s="160"/>
    </row>
    <row r="138" spans="1:8" s="16" customFormat="1" ht="14.25" customHeight="1">
      <c r="A138" s="27" t="s">
        <v>98</v>
      </c>
      <c r="B138" s="18" t="s">
        <v>99</v>
      </c>
      <c r="C138" s="269">
        <f aca="true" t="shared" si="24" ref="C138:H138">C135+C136+C137</f>
        <v>-113469.48</v>
      </c>
      <c r="D138" s="269">
        <f t="shared" si="24"/>
        <v>0</v>
      </c>
      <c r="E138" s="269">
        <f t="shared" si="24"/>
        <v>0</v>
      </c>
      <c r="F138" s="269">
        <f t="shared" si="24"/>
        <v>225818.2</v>
      </c>
      <c r="G138" s="270">
        <f t="shared" si="24"/>
        <v>19973.28</v>
      </c>
      <c r="H138" s="271">
        <f t="shared" si="24"/>
        <v>1540169</v>
      </c>
    </row>
    <row r="139" spans="1:8" s="16" customFormat="1" ht="14.25" customHeight="1">
      <c r="A139" s="27" t="s">
        <v>100</v>
      </c>
      <c r="B139" s="18" t="s">
        <v>101</v>
      </c>
      <c r="C139" s="131">
        <f>INVESTMENTS!F21</f>
        <v>0</v>
      </c>
      <c r="D139" s="131">
        <f>INVESTMENTS!F22</f>
        <v>0</v>
      </c>
      <c r="E139" s="131">
        <f>INVESTMENTS!F23</f>
        <v>0</v>
      </c>
      <c r="F139" s="99">
        <f>INVESTMENTS!F24</f>
        <v>0</v>
      </c>
      <c r="G139" s="309">
        <f>INVESTMENTS!F25</f>
        <v>0</v>
      </c>
      <c r="H139" s="140">
        <f>INVESTMENTS!F26</f>
        <v>0</v>
      </c>
    </row>
    <row r="140" spans="1:8" s="16" customFormat="1" ht="14.25" customHeight="1">
      <c r="A140" s="39"/>
      <c r="B140" s="40"/>
      <c r="C140" s="40"/>
      <c r="D140" s="40"/>
      <c r="E140" s="40"/>
      <c r="F140" s="40"/>
      <c r="G140" s="40"/>
      <c r="H140" s="41"/>
    </row>
    <row r="141" spans="1:8" s="16" customFormat="1" ht="14.25" customHeight="1">
      <c r="A141" s="42" t="s">
        <v>102</v>
      </c>
      <c r="B141" s="34" t="s">
        <v>88</v>
      </c>
      <c r="C141" s="272">
        <f aca="true" t="shared" si="25" ref="C141:H141">C138+C139</f>
        <v>-113469.48</v>
      </c>
      <c r="D141" s="272">
        <f t="shared" si="25"/>
        <v>0</v>
      </c>
      <c r="E141" s="272">
        <f t="shared" si="25"/>
        <v>0</v>
      </c>
      <c r="F141" s="272">
        <f t="shared" si="25"/>
        <v>225818.2</v>
      </c>
      <c r="G141" s="272">
        <f t="shared" si="25"/>
        <v>19973.28</v>
      </c>
      <c r="H141" s="273">
        <f t="shared" si="25"/>
        <v>1540169</v>
      </c>
    </row>
    <row r="142" spans="1:8" s="16" customFormat="1" ht="14.25" customHeight="1">
      <c r="A142" s="23"/>
      <c r="B142" s="24"/>
      <c r="C142" s="24"/>
      <c r="D142" s="24"/>
      <c r="E142" s="24"/>
      <c r="F142" s="24"/>
      <c r="G142" s="25"/>
      <c r="H142" s="26"/>
    </row>
    <row r="143" spans="1:8" s="16" customFormat="1" ht="14.25" customHeight="1">
      <c r="A143" s="27" t="s">
        <v>103</v>
      </c>
      <c r="B143" s="36"/>
      <c r="C143" s="36"/>
      <c r="D143" s="36"/>
      <c r="E143" s="36"/>
      <c r="F143" s="36"/>
      <c r="G143" s="37"/>
      <c r="H143" s="38"/>
    </row>
    <row r="144" spans="1:8" s="16" customFormat="1" ht="14.25" customHeight="1">
      <c r="A144" s="27" t="s">
        <v>104</v>
      </c>
      <c r="B144" s="18" t="s">
        <v>81</v>
      </c>
      <c r="C144" s="160">
        <v>-113469.48</v>
      </c>
      <c r="D144" s="160">
        <v>0</v>
      </c>
      <c r="E144" s="160">
        <v>0</v>
      </c>
      <c r="F144" s="160">
        <v>225818.2</v>
      </c>
      <c r="G144" s="177">
        <v>19973.28</v>
      </c>
      <c r="H144" s="161">
        <v>1540169</v>
      </c>
    </row>
    <row r="145" spans="1:8" s="16" customFormat="1" ht="14.25" customHeight="1">
      <c r="A145" s="27" t="s">
        <v>105</v>
      </c>
      <c r="B145" s="18" t="s">
        <v>97</v>
      </c>
      <c r="C145" s="160">
        <v>0</v>
      </c>
      <c r="D145" s="160">
        <v>0</v>
      </c>
      <c r="E145" s="160">
        <v>0</v>
      </c>
      <c r="F145" s="160">
        <v>0</v>
      </c>
      <c r="G145" s="160">
        <v>0</v>
      </c>
      <c r="H145" s="160">
        <v>0</v>
      </c>
    </row>
    <row r="146" spans="1:8" s="16" customFormat="1" ht="14.25" customHeight="1">
      <c r="A146" s="27" t="s">
        <v>106</v>
      </c>
      <c r="B146" s="18" t="s">
        <v>97</v>
      </c>
      <c r="C146" s="160">
        <v>0</v>
      </c>
      <c r="D146" s="160">
        <v>0</v>
      </c>
      <c r="E146" s="160">
        <v>0</v>
      </c>
      <c r="F146" s="160">
        <v>0</v>
      </c>
      <c r="G146" s="177">
        <v>0</v>
      </c>
      <c r="H146" s="161">
        <v>0</v>
      </c>
    </row>
    <row r="147" spans="1:8" s="16" customFormat="1" ht="14.25" customHeight="1">
      <c r="A147" s="27" t="s">
        <v>107</v>
      </c>
      <c r="B147" s="18" t="s">
        <v>97</v>
      </c>
      <c r="C147" s="131">
        <f aca="true" t="shared" si="26" ref="C147:H147">C137</f>
        <v>0</v>
      </c>
      <c r="D147" s="131">
        <f t="shared" si="26"/>
        <v>0</v>
      </c>
      <c r="E147" s="131">
        <f t="shared" si="26"/>
        <v>0</v>
      </c>
      <c r="F147" s="131">
        <f t="shared" si="26"/>
        <v>0</v>
      </c>
      <c r="G147" s="131">
        <f t="shared" si="26"/>
        <v>0</v>
      </c>
      <c r="H147" s="131">
        <f t="shared" si="26"/>
        <v>0</v>
      </c>
    </row>
    <row r="148" spans="1:8" s="16" customFormat="1" ht="14.25" customHeight="1">
      <c r="A148" s="33" t="s">
        <v>108</v>
      </c>
      <c r="B148" s="34" t="s">
        <v>84</v>
      </c>
      <c r="C148" s="162">
        <f aca="true" t="shared" si="27" ref="C148:H148">-(C119)</f>
        <v>0</v>
      </c>
      <c r="D148" s="162">
        <f t="shared" si="27"/>
        <v>0</v>
      </c>
      <c r="E148" s="162">
        <f t="shared" si="27"/>
        <v>0</v>
      </c>
      <c r="F148" s="162">
        <f t="shared" si="27"/>
        <v>0</v>
      </c>
      <c r="G148" s="162">
        <f t="shared" si="27"/>
        <v>0</v>
      </c>
      <c r="H148" s="163">
        <f t="shared" si="27"/>
        <v>0</v>
      </c>
    </row>
    <row r="149" spans="1:8" s="16" customFormat="1" ht="14.25" customHeight="1">
      <c r="A149" s="23"/>
      <c r="B149" s="24"/>
      <c r="C149" s="187"/>
      <c r="D149" s="187"/>
      <c r="E149" s="187"/>
      <c r="F149" s="187"/>
      <c r="G149" s="188"/>
      <c r="H149" s="189"/>
    </row>
    <row r="150" spans="1:8" s="16" customFormat="1" ht="14.25" customHeight="1">
      <c r="A150" s="33" t="s">
        <v>109</v>
      </c>
      <c r="B150" s="34" t="s">
        <v>88</v>
      </c>
      <c r="C150" s="272">
        <f aca="true" t="shared" si="28" ref="C150:H150">SUM(C144:C148)</f>
        <v>-113469.48</v>
      </c>
      <c r="D150" s="272">
        <f t="shared" si="28"/>
        <v>0</v>
      </c>
      <c r="E150" s="272">
        <f t="shared" si="28"/>
        <v>0</v>
      </c>
      <c r="F150" s="272">
        <f t="shared" si="28"/>
        <v>225818.2</v>
      </c>
      <c r="G150" s="272">
        <f t="shared" si="28"/>
        <v>19973.28</v>
      </c>
      <c r="H150" s="273">
        <f t="shared" si="28"/>
        <v>1540169</v>
      </c>
    </row>
    <row r="151" spans="1:8" s="16" customFormat="1" ht="14.25" customHeight="1">
      <c r="A151" s="80" t="s">
        <v>195</v>
      </c>
      <c r="B151" s="24"/>
      <c r="C151" s="52" t="str">
        <f aca="true" t="shared" si="29" ref="C151:H151">IF(C138=C150," ","NOT BALANCED")</f>
        <v> </v>
      </c>
      <c r="D151" s="52" t="str">
        <f t="shared" si="29"/>
        <v> </v>
      </c>
      <c r="E151" s="52" t="str">
        <f t="shared" si="29"/>
        <v> </v>
      </c>
      <c r="F151" s="52" t="str">
        <f t="shared" si="29"/>
        <v> </v>
      </c>
      <c r="G151" s="52" t="str">
        <f t="shared" si="29"/>
        <v> </v>
      </c>
      <c r="H151" s="52" t="str">
        <f t="shared" si="29"/>
        <v> </v>
      </c>
    </row>
    <row r="152" spans="1:7" s="16" customFormat="1" ht="14.25" customHeight="1">
      <c r="A152" s="43" t="s">
        <v>110</v>
      </c>
      <c r="B152" s="36"/>
      <c r="C152" s="36"/>
      <c r="D152" s="36"/>
      <c r="E152" s="36"/>
      <c r="F152" s="36"/>
      <c r="G152" s="36"/>
    </row>
    <row r="153" s="16" customFormat="1" ht="14.25" customHeight="1"/>
    <row r="154" spans="1:7" s="16" customFormat="1" ht="14.25" customHeight="1">
      <c r="A154" s="43" t="str">
        <f>A1</f>
        <v>SCHOOL DISTRICT/CHARTER:  GADSDEN</v>
      </c>
      <c r="B154" s="36"/>
      <c r="C154" s="36"/>
      <c r="D154" s="36"/>
      <c r="E154" s="43" t="s">
        <v>25</v>
      </c>
      <c r="F154" s="36" t="s">
        <v>1</v>
      </c>
      <c r="G154" s="257" t="str">
        <f>G1</f>
        <v>DONA ANA</v>
      </c>
    </row>
    <row r="155" spans="1:7" s="16" customFormat="1" ht="14.25" customHeight="1">
      <c r="A155" s="43" t="str">
        <f>A104</f>
        <v>Month/Quarter:                      MARCH 2005</v>
      </c>
      <c r="B155" s="36"/>
      <c r="C155" s="45"/>
      <c r="D155" s="43"/>
      <c r="E155" s="46" t="s">
        <v>25</v>
      </c>
      <c r="F155" s="47" t="s">
        <v>2</v>
      </c>
      <c r="G155" s="48" t="str">
        <f>G2</f>
        <v>19</v>
      </c>
    </row>
    <row r="156" spans="1:7" s="16" customFormat="1" ht="14.25" customHeight="1" thickBot="1">
      <c r="A156" s="24"/>
      <c r="B156" s="24"/>
      <c r="C156" s="24"/>
      <c r="D156" s="24"/>
      <c r="E156" s="24"/>
      <c r="F156" s="24"/>
      <c r="G156" s="24"/>
    </row>
    <row r="157" spans="1:8" s="16" customFormat="1" ht="14.25" customHeight="1">
      <c r="A157" s="105"/>
      <c r="B157" s="102"/>
      <c r="C157" s="49" t="s">
        <v>178</v>
      </c>
      <c r="D157" s="49" t="s">
        <v>142</v>
      </c>
      <c r="E157" s="49" t="s">
        <v>143</v>
      </c>
      <c r="F157" s="49" t="s">
        <v>144</v>
      </c>
      <c r="G157" s="343" t="s">
        <v>213</v>
      </c>
      <c r="H157" s="344"/>
    </row>
    <row r="158" spans="1:8" s="16" customFormat="1" ht="14.25" customHeight="1">
      <c r="A158" s="94"/>
      <c r="B158" s="36"/>
      <c r="C158" s="18" t="s">
        <v>145</v>
      </c>
      <c r="D158" s="18" t="s">
        <v>145</v>
      </c>
      <c r="E158" s="19" t="s">
        <v>147</v>
      </c>
      <c r="F158" s="19" t="s">
        <v>147</v>
      </c>
      <c r="G158" s="345" t="s">
        <v>214</v>
      </c>
      <c r="H158" s="346"/>
    </row>
    <row r="159" spans="1:8" s="98" customFormat="1" ht="14.25" customHeight="1" thickBot="1">
      <c r="A159" s="95"/>
      <c r="B159" s="96"/>
      <c r="C159" s="89">
        <v>32100</v>
      </c>
      <c r="D159" s="86" t="s">
        <v>148</v>
      </c>
      <c r="E159" s="86" t="s">
        <v>149</v>
      </c>
      <c r="F159" s="86" t="s">
        <v>150</v>
      </c>
      <c r="G159" s="347" t="s">
        <v>215</v>
      </c>
      <c r="H159" s="348"/>
    </row>
    <row r="160" spans="1:8" s="16" customFormat="1" ht="14.25" customHeight="1">
      <c r="A160" s="23"/>
      <c r="B160" s="24"/>
      <c r="C160" s="24"/>
      <c r="D160" s="24"/>
      <c r="E160" s="25"/>
      <c r="F160" s="17"/>
      <c r="G160" s="349" t="str">
        <f>IF((SUM(C7:H7)+SUM(C58:H58)+SUM(C109:H109)+SUM(C160:F160))=0," ",SUM(C7:H7)+SUM(C58:H58)+SUM(C109:H109)+SUM(C160:F160))</f>
        <v> </v>
      </c>
      <c r="H160" s="350"/>
    </row>
    <row r="161" spans="1:8" s="16" customFormat="1" ht="14.25" customHeight="1">
      <c r="A161" s="27" t="s">
        <v>79</v>
      </c>
      <c r="B161" s="36"/>
      <c r="C161" s="28"/>
      <c r="D161" s="28"/>
      <c r="E161" s="28"/>
      <c r="F161" s="28"/>
      <c r="G161" s="331" t="str">
        <f aca="true" t="shared" si="30" ref="G161:G201">IF((SUM(C8:H8)+SUM(C59:H59)+SUM(C110:H110)+SUM(C161:F161))=0," ",SUM(C8:H8)+SUM(C59:H59)+SUM(C110:H110)+SUM(C161:F161))</f>
        <v> </v>
      </c>
      <c r="H161" s="332"/>
    </row>
    <row r="162" spans="1:8" s="16" customFormat="1" ht="14.25" customHeight="1">
      <c r="A162" s="27" t="s">
        <v>80</v>
      </c>
      <c r="B162" s="18" t="s">
        <v>81</v>
      </c>
      <c r="C162" s="263">
        <v>0</v>
      </c>
      <c r="D162" s="263">
        <v>0</v>
      </c>
      <c r="E162" s="263">
        <v>0</v>
      </c>
      <c r="F162" s="263">
        <v>0</v>
      </c>
      <c r="G162" s="331" t="str">
        <f t="shared" si="30"/>
        <v> </v>
      </c>
      <c r="H162" s="332"/>
    </row>
    <row r="163" spans="1:8" s="16" customFormat="1" ht="14.25" customHeight="1">
      <c r="A163" s="27" t="s">
        <v>82</v>
      </c>
      <c r="B163" s="18" t="s">
        <v>81</v>
      </c>
      <c r="C163" s="263">
        <v>46352</v>
      </c>
      <c r="D163" s="263">
        <v>533565.21</v>
      </c>
      <c r="E163" s="263">
        <v>0</v>
      </c>
      <c r="F163" s="263">
        <v>0</v>
      </c>
      <c r="G163" s="331">
        <f t="shared" si="30"/>
        <v>30802174.63</v>
      </c>
      <c r="H163" s="332"/>
    </row>
    <row r="164" spans="1:8" s="16" customFormat="1" ht="14.25" customHeight="1">
      <c r="A164" s="27" t="s">
        <v>83</v>
      </c>
      <c r="B164" s="18" t="s">
        <v>84</v>
      </c>
      <c r="C164" s="302">
        <v>-46352</v>
      </c>
      <c r="D164" s="302">
        <v>-533565.21</v>
      </c>
      <c r="E164" s="302">
        <v>0</v>
      </c>
      <c r="F164" s="302">
        <v>0</v>
      </c>
      <c r="G164" s="331">
        <f t="shared" si="30"/>
        <v>-30802174.63</v>
      </c>
      <c r="H164" s="332"/>
    </row>
    <row r="165" spans="1:8" s="16" customFormat="1" ht="14.25" customHeight="1">
      <c r="A165" s="27" t="s">
        <v>205</v>
      </c>
      <c r="B165" s="18" t="s">
        <v>84</v>
      </c>
      <c r="C165" s="302">
        <v>0</v>
      </c>
      <c r="D165" s="302">
        <v>0</v>
      </c>
      <c r="E165" s="302">
        <v>0</v>
      </c>
      <c r="F165" s="302">
        <v>0</v>
      </c>
      <c r="G165" s="331" t="str">
        <f t="shared" si="30"/>
        <v> </v>
      </c>
      <c r="H165" s="332"/>
    </row>
    <row r="166" spans="1:8" s="16" customFormat="1" ht="14.25" customHeight="1">
      <c r="A166" s="27" t="s">
        <v>204</v>
      </c>
      <c r="B166" s="18" t="s">
        <v>84</v>
      </c>
      <c r="C166" s="302">
        <v>0</v>
      </c>
      <c r="D166" s="302">
        <v>0</v>
      </c>
      <c r="E166" s="302">
        <v>0</v>
      </c>
      <c r="F166" s="302">
        <v>0</v>
      </c>
      <c r="G166" s="331" t="str">
        <f t="shared" si="30"/>
        <v> </v>
      </c>
      <c r="H166" s="332"/>
    </row>
    <row r="167" spans="1:8" s="16" customFormat="1" ht="14.25" customHeight="1">
      <c r="A167" s="31" t="s">
        <v>85</v>
      </c>
      <c r="B167" s="18" t="s">
        <v>81</v>
      </c>
      <c r="C167" s="263">
        <v>0</v>
      </c>
      <c r="D167" s="263">
        <v>0</v>
      </c>
      <c r="E167" s="263">
        <v>0</v>
      </c>
      <c r="F167" s="263">
        <v>0</v>
      </c>
      <c r="G167" s="331" t="str">
        <f t="shared" si="30"/>
        <v> </v>
      </c>
      <c r="H167" s="332"/>
    </row>
    <row r="168" spans="1:8" s="16" customFormat="1" ht="14.25" customHeight="1">
      <c r="A168" s="31" t="s">
        <v>85</v>
      </c>
      <c r="B168" s="18" t="s">
        <v>84</v>
      </c>
      <c r="C168" s="302">
        <v>0</v>
      </c>
      <c r="D168" s="302">
        <v>0</v>
      </c>
      <c r="E168" s="302">
        <v>0</v>
      </c>
      <c r="F168" s="302">
        <v>0</v>
      </c>
      <c r="G168" s="333" t="str">
        <f t="shared" si="30"/>
        <v> </v>
      </c>
      <c r="H168" s="334"/>
    </row>
    <row r="169" spans="1:8" s="16" customFormat="1" ht="14.25" customHeight="1">
      <c r="A169" s="32" t="s">
        <v>86</v>
      </c>
      <c r="B169" s="102"/>
      <c r="C169" s="102"/>
      <c r="D169" s="102"/>
      <c r="E169" s="102"/>
      <c r="F169" s="102"/>
      <c r="G169" s="331" t="str">
        <f t="shared" si="30"/>
        <v> </v>
      </c>
      <c r="H169" s="332"/>
    </row>
    <row r="170" spans="1:8" s="16" customFormat="1" ht="14.25" customHeight="1">
      <c r="A170" s="33" t="s">
        <v>87</v>
      </c>
      <c r="B170" s="34" t="s">
        <v>88</v>
      </c>
      <c r="C170" s="272">
        <f>SUM(C162:C168)</f>
        <v>0</v>
      </c>
      <c r="D170" s="272">
        <f>SUM(D162:D168)</f>
        <v>0</v>
      </c>
      <c r="E170" s="272">
        <f>SUM(E162:E168)</f>
        <v>0</v>
      </c>
      <c r="F170" s="272">
        <f>SUM(F162:F168)</f>
        <v>0</v>
      </c>
      <c r="G170" s="333" t="str">
        <f t="shared" si="30"/>
        <v> </v>
      </c>
      <c r="H170" s="334"/>
    </row>
    <row r="171" spans="1:8" s="16" customFormat="1" ht="14.25" customHeight="1">
      <c r="A171" s="23"/>
      <c r="B171" s="24"/>
      <c r="C171" s="24"/>
      <c r="D171" s="24"/>
      <c r="E171" s="24"/>
      <c r="F171" s="24"/>
      <c r="G171" s="331" t="str">
        <f t="shared" si="30"/>
        <v> </v>
      </c>
      <c r="H171" s="332"/>
    </row>
    <row r="172" spans="1:8" s="16" customFormat="1" ht="14.25" customHeight="1">
      <c r="A172" s="27" t="s">
        <v>89</v>
      </c>
      <c r="B172" s="36"/>
      <c r="C172" s="36"/>
      <c r="D172" s="36"/>
      <c r="E172" s="36"/>
      <c r="F172" s="36"/>
      <c r="G172" s="331" t="str">
        <f t="shared" si="30"/>
        <v> </v>
      </c>
      <c r="H172" s="332"/>
    </row>
    <row r="173" spans="1:8" s="16" customFormat="1" ht="14.25" customHeight="1">
      <c r="A173" s="27" t="s">
        <v>90</v>
      </c>
      <c r="B173" s="18" t="s">
        <v>81</v>
      </c>
      <c r="C173" s="160">
        <v>6207.7</v>
      </c>
      <c r="D173" s="160">
        <v>972520.98</v>
      </c>
      <c r="E173" s="160">
        <v>0</v>
      </c>
      <c r="F173" s="160">
        <v>0</v>
      </c>
      <c r="G173" s="331">
        <f t="shared" si="30"/>
        <v>15870753.84</v>
      </c>
      <c r="H173" s="332"/>
    </row>
    <row r="174" spans="1:8" s="16" customFormat="1" ht="14.25" customHeight="1">
      <c r="A174" s="27" t="s">
        <v>208</v>
      </c>
      <c r="B174" s="36"/>
      <c r="C174" s="130"/>
      <c r="D174" s="130"/>
      <c r="E174" s="130"/>
      <c r="F174" s="130"/>
      <c r="G174" s="331" t="str">
        <f t="shared" si="30"/>
        <v> </v>
      </c>
      <c r="H174" s="332"/>
    </row>
    <row r="175" spans="1:8" s="16" customFormat="1" ht="14.25" customHeight="1">
      <c r="A175" s="82" t="s">
        <v>207</v>
      </c>
      <c r="B175" s="18" t="s">
        <v>81</v>
      </c>
      <c r="C175" s="160">
        <v>24114.93</v>
      </c>
      <c r="D175" s="160">
        <v>4477739.61</v>
      </c>
      <c r="E175" s="160">
        <v>0</v>
      </c>
      <c r="F175" s="160">
        <v>0</v>
      </c>
      <c r="G175" s="331">
        <f t="shared" si="30"/>
        <v>32958091.31</v>
      </c>
      <c r="H175" s="332"/>
    </row>
    <row r="176" spans="1:8" s="16" customFormat="1" ht="14.25" customHeight="1">
      <c r="A176" s="27" t="s">
        <v>83</v>
      </c>
      <c r="B176" s="18" t="s">
        <v>84</v>
      </c>
      <c r="C176" s="141">
        <f>C164</f>
        <v>-46352</v>
      </c>
      <c r="D176" s="141">
        <f>D164</f>
        <v>-533565.21</v>
      </c>
      <c r="E176" s="141">
        <f>E164</f>
        <v>0</v>
      </c>
      <c r="F176" s="141">
        <f>F164</f>
        <v>0</v>
      </c>
      <c r="G176" s="331">
        <f t="shared" si="30"/>
        <v>-30802174.63</v>
      </c>
      <c r="H176" s="332"/>
    </row>
    <row r="177" spans="1:8" s="16" customFormat="1" ht="14.25" customHeight="1">
      <c r="A177" s="27" t="s">
        <v>91</v>
      </c>
      <c r="B177" s="18" t="s">
        <v>84</v>
      </c>
      <c r="C177" s="306">
        <v>0</v>
      </c>
      <c r="D177" s="306">
        <v>0</v>
      </c>
      <c r="E177" s="306">
        <v>0</v>
      </c>
      <c r="F177" s="306">
        <v>0</v>
      </c>
      <c r="G177" s="331" t="str">
        <f t="shared" si="30"/>
        <v> </v>
      </c>
      <c r="H177" s="332"/>
    </row>
    <row r="178" spans="1:8" s="16" customFormat="1" ht="14.25" customHeight="1">
      <c r="A178" s="27" t="s">
        <v>209</v>
      </c>
      <c r="B178" s="18" t="s">
        <v>81</v>
      </c>
      <c r="C178" s="160">
        <v>0</v>
      </c>
      <c r="D178" s="160">
        <v>0</v>
      </c>
      <c r="E178" s="160">
        <v>0</v>
      </c>
      <c r="F178" s="160">
        <v>0</v>
      </c>
      <c r="G178" s="331" t="str">
        <f t="shared" si="30"/>
        <v> </v>
      </c>
      <c r="H178" s="332"/>
    </row>
    <row r="179" spans="1:8" s="16" customFormat="1" ht="14.25" customHeight="1">
      <c r="A179" s="27" t="s">
        <v>211</v>
      </c>
      <c r="B179" s="18" t="s">
        <v>81</v>
      </c>
      <c r="C179" s="160">
        <v>0</v>
      </c>
      <c r="D179" s="160">
        <v>0</v>
      </c>
      <c r="E179" s="160">
        <v>0</v>
      </c>
      <c r="F179" s="160">
        <v>0</v>
      </c>
      <c r="G179" s="331" t="str">
        <f t="shared" si="30"/>
        <v> </v>
      </c>
      <c r="H179" s="332"/>
    </row>
    <row r="180" spans="1:8" s="16" customFormat="1" ht="14.25" customHeight="1">
      <c r="A180" s="27" t="s">
        <v>212</v>
      </c>
      <c r="B180" s="18" t="s">
        <v>84</v>
      </c>
      <c r="C180" s="306">
        <v>0</v>
      </c>
      <c r="D180" s="306">
        <v>0</v>
      </c>
      <c r="E180" s="306">
        <v>0</v>
      </c>
      <c r="F180" s="306">
        <v>0</v>
      </c>
      <c r="G180" s="331" t="str">
        <f t="shared" si="30"/>
        <v> </v>
      </c>
      <c r="H180" s="332"/>
    </row>
    <row r="181" spans="1:8" s="16" customFormat="1" ht="14.25" customHeight="1">
      <c r="A181" s="27" t="s">
        <v>92</v>
      </c>
      <c r="B181" s="18" t="s">
        <v>97</v>
      </c>
      <c r="C181" s="160">
        <v>0</v>
      </c>
      <c r="D181" s="160">
        <v>0</v>
      </c>
      <c r="E181" s="160">
        <v>0</v>
      </c>
      <c r="F181" s="160">
        <v>0</v>
      </c>
      <c r="G181" s="331">
        <f t="shared" si="30"/>
        <v>-104960.25</v>
      </c>
      <c r="H181" s="332"/>
    </row>
    <row r="182" spans="1:8" s="16" customFormat="1" ht="14.25" customHeight="1">
      <c r="A182" s="27" t="s">
        <v>185</v>
      </c>
      <c r="B182" s="18" t="s">
        <v>84</v>
      </c>
      <c r="C182" s="306">
        <v>0</v>
      </c>
      <c r="D182" s="306">
        <v>0</v>
      </c>
      <c r="E182" s="306">
        <v>0</v>
      </c>
      <c r="F182" s="306">
        <v>0</v>
      </c>
      <c r="G182" s="331">
        <f t="shared" si="30"/>
        <v>-821740.2</v>
      </c>
      <c r="H182" s="332"/>
    </row>
    <row r="183" spans="1:8" s="16" customFormat="1" ht="14.25" customHeight="1">
      <c r="A183" s="27" t="s">
        <v>93</v>
      </c>
      <c r="B183" s="18" t="s">
        <v>84</v>
      </c>
      <c r="C183" s="264">
        <f>-INVESTMENTS!D27</f>
        <v>0</v>
      </c>
      <c r="D183" s="264">
        <f>-INVESTMENTS!D28</f>
        <v>-4502114.99</v>
      </c>
      <c r="E183" s="279">
        <f>-INVESTMENTS!D29</f>
        <v>0</v>
      </c>
      <c r="F183" s="279">
        <f>-INVESTMENTS!D30</f>
        <v>0</v>
      </c>
      <c r="G183" s="340">
        <f t="shared" si="30"/>
        <v>-5653892.12</v>
      </c>
      <c r="H183" s="341"/>
    </row>
    <row r="184" spans="1:8" s="16" customFormat="1" ht="14.25" customHeight="1">
      <c r="A184" s="27" t="s">
        <v>94</v>
      </c>
      <c r="B184" s="18" t="s">
        <v>81</v>
      </c>
      <c r="C184" s="99">
        <f>INVESTMENTS!E27</f>
        <v>0</v>
      </c>
      <c r="D184" s="99">
        <f>INVESTMENTS!E28</f>
        <v>0</v>
      </c>
      <c r="E184" s="131">
        <f>INVESTMENTS!E29</f>
        <v>0</v>
      </c>
      <c r="F184" s="131">
        <f>INVESTMENTS!E30</f>
        <v>0</v>
      </c>
      <c r="G184" s="331" t="str">
        <f t="shared" si="30"/>
        <v> </v>
      </c>
      <c r="H184" s="332"/>
    </row>
    <row r="185" spans="1:8" s="16" customFormat="1" ht="14.25" customHeight="1">
      <c r="A185" s="27" t="s">
        <v>95</v>
      </c>
      <c r="B185" s="18" t="s">
        <v>84</v>
      </c>
      <c r="C185" s="141">
        <f>-(C170)</f>
        <v>0</v>
      </c>
      <c r="D185" s="141">
        <f>-(D170)</f>
        <v>0</v>
      </c>
      <c r="E185" s="141">
        <f>-(E170)</f>
        <v>0</v>
      </c>
      <c r="F185" s="141">
        <f>-(F170)</f>
        <v>0</v>
      </c>
      <c r="G185" s="331" t="str">
        <f t="shared" si="30"/>
        <v> </v>
      </c>
      <c r="H185" s="332"/>
    </row>
    <row r="186" spans="1:8" s="16" customFormat="1" ht="14.25" customHeight="1">
      <c r="A186" s="27" t="s">
        <v>96</v>
      </c>
      <c r="B186" s="18" t="s">
        <v>88</v>
      </c>
      <c r="C186" s="269">
        <f>C173+SUM(C175:C185)</f>
        <v>-16029.37</v>
      </c>
      <c r="D186" s="269">
        <f>D173+SUM(D175:D185)</f>
        <v>414580.39</v>
      </c>
      <c r="E186" s="269">
        <f>E173+SUM(E175:E185)</f>
        <v>0</v>
      </c>
      <c r="F186" s="269">
        <f>F173+SUM(F175:F185)</f>
        <v>0</v>
      </c>
      <c r="G186" s="340">
        <f t="shared" si="30"/>
        <v>11446077.95</v>
      </c>
      <c r="H186" s="341"/>
    </row>
    <row r="187" spans="1:8" s="16" customFormat="1" ht="14.25" customHeight="1">
      <c r="A187" s="27" t="s">
        <v>203</v>
      </c>
      <c r="B187" s="18" t="s">
        <v>97</v>
      </c>
      <c r="C187" s="160"/>
      <c r="D187" s="160"/>
      <c r="E187" s="160"/>
      <c r="F187" s="160"/>
      <c r="G187" s="331" t="str">
        <f t="shared" si="30"/>
        <v> </v>
      </c>
      <c r="H187" s="332"/>
    </row>
    <row r="188" spans="1:8" s="16" customFormat="1" ht="14.25" customHeight="1">
      <c r="A188" s="319" t="s">
        <v>233</v>
      </c>
      <c r="B188" s="18" t="s">
        <v>97</v>
      </c>
      <c r="C188" s="131">
        <f>'CASH REPORT'!C205</f>
        <v>0</v>
      </c>
      <c r="D188" s="131">
        <f>'CASH REPORT'!D205</f>
        <v>0</v>
      </c>
      <c r="E188" s="131">
        <f>'CASH REPORT'!E205</f>
        <v>0</v>
      </c>
      <c r="F188" s="131">
        <f>'CASH REPORT'!F205</f>
        <v>0</v>
      </c>
      <c r="G188" s="331" t="str">
        <f t="shared" si="30"/>
        <v> </v>
      </c>
      <c r="H188" s="332"/>
    </row>
    <row r="189" spans="1:8" s="16" customFormat="1" ht="14.25" customHeight="1">
      <c r="A189" s="27" t="s">
        <v>98</v>
      </c>
      <c r="B189" s="18" t="s">
        <v>99</v>
      </c>
      <c r="C189" s="269">
        <f>C186+C187+C188</f>
        <v>-16029.37</v>
      </c>
      <c r="D189" s="269">
        <f>D186+D187+D188</f>
        <v>414580.39</v>
      </c>
      <c r="E189" s="269">
        <f>E186+E187+E188</f>
        <v>0</v>
      </c>
      <c r="F189" s="269">
        <f>F186+F187+F188</f>
        <v>0</v>
      </c>
      <c r="G189" s="340">
        <f t="shared" si="30"/>
        <v>11446077.95</v>
      </c>
      <c r="H189" s="341"/>
    </row>
    <row r="190" spans="1:8" s="16" customFormat="1" ht="14.25" customHeight="1">
      <c r="A190" s="27" t="s">
        <v>100</v>
      </c>
      <c r="B190" s="18" t="s">
        <v>101</v>
      </c>
      <c r="C190" s="99">
        <f>INVESTMENTS!F27</f>
        <v>0</v>
      </c>
      <c r="D190" s="99">
        <f>INVESTMENTS!F28</f>
        <v>4502114.99</v>
      </c>
      <c r="E190" s="131">
        <f>INVESTMENTS!F29</f>
        <v>0</v>
      </c>
      <c r="F190" s="131">
        <f>INVESTMENTS!F30</f>
        <v>0</v>
      </c>
      <c r="G190" s="333">
        <f t="shared" si="30"/>
        <v>15453912.12</v>
      </c>
      <c r="H190" s="334"/>
    </row>
    <row r="191" spans="1:8" s="16" customFormat="1" ht="14.25" customHeight="1">
      <c r="A191" s="39"/>
      <c r="B191" s="40"/>
      <c r="C191" s="40"/>
      <c r="D191" s="40"/>
      <c r="E191" s="40"/>
      <c r="F191" s="40"/>
      <c r="G191" s="331" t="str">
        <f t="shared" si="30"/>
        <v> </v>
      </c>
      <c r="H191" s="332"/>
    </row>
    <row r="192" spans="1:8" s="16" customFormat="1" ht="14.25" customHeight="1">
      <c r="A192" s="42" t="s">
        <v>102</v>
      </c>
      <c r="B192" s="34" t="s">
        <v>88</v>
      </c>
      <c r="C192" s="272">
        <f>C189+C190</f>
        <v>-16029.37</v>
      </c>
      <c r="D192" s="272">
        <f>D189+D190</f>
        <v>4916695.38</v>
      </c>
      <c r="E192" s="272">
        <f>E189+E190</f>
        <v>0</v>
      </c>
      <c r="F192" s="272">
        <f>F189+F190</f>
        <v>0</v>
      </c>
      <c r="G192" s="338">
        <f t="shared" si="30"/>
        <v>26899990.07</v>
      </c>
      <c r="H192" s="339"/>
    </row>
    <row r="193" spans="1:8" s="16" customFormat="1" ht="14.25" customHeight="1">
      <c r="A193" s="23"/>
      <c r="B193" s="24"/>
      <c r="C193" s="24"/>
      <c r="D193" s="24"/>
      <c r="E193" s="24"/>
      <c r="F193" s="24"/>
      <c r="G193" s="331" t="str">
        <f t="shared" si="30"/>
        <v> </v>
      </c>
      <c r="H193" s="332"/>
    </row>
    <row r="194" spans="1:8" s="16" customFormat="1" ht="14.25" customHeight="1">
      <c r="A194" s="27" t="s">
        <v>103</v>
      </c>
      <c r="B194" s="36"/>
      <c r="C194" s="36"/>
      <c r="D194" s="36"/>
      <c r="E194" s="36"/>
      <c r="F194" s="36"/>
      <c r="G194" s="331" t="str">
        <f t="shared" si="30"/>
        <v> </v>
      </c>
      <c r="H194" s="332"/>
    </row>
    <row r="195" spans="1:8" s="16" customFormat="1" ht="14.25" customHeight="1">
      <c r="A195" s="27" t="s">
        <v>104</v>
      </c>
      <c r="B195" s="18" t="s">
        <v>81</v>
      </c>
      <c r="C195" s="160">
        <v>-16029.37</v>
      </c>
      <c r="D195" s="160">
        <v>414580.39</v>
      </c>
      <c r="E195" s="160">
        <v>0</v>
      </c>
      <c r="F195" s="160">
        <v>0</v>
      </c>
      <c r="G195" s="331">
        <f t="shared" si="30"/>
        <v>12265715.79</v>
      </c>
      <c r="H195" s="332"/>
    </row>
    <row r="196" spans="1:8" s="16" customFormat="1" ht="14.25" customHeight="1">
      <c r="A196" s="27" t="s">
        <v>105</v>
      </c>
      <c r="B196" s="18" t="s">
        <v>97</v>
      </c>
      <c r="C196" s="160">
        <v>0</v>
      </c>
      <c r="D196" s="160">
        <v>0</v>
      </c>
      <c r="E196" s="160">
        <v>0</v>
      </c>
      <c r="F196" s="160">
        <v>0</v>
      </c>
      <c r="G196" s="331">
        <f t="shared" si="30"/>
        <v>-819637.84</v>
      </c>
      <c r="H196" s="332"/>
    </row>
    <row r="197" spans="1:8" s="16" customFormat="1" ht="14.25" customHeight="1">
      <c r="A197" s="27" t="s">
        <v>106</v>
      </c>
      <c r="B197" s="18" t="s">
        <v>97</v>
      </c>
      <c r="C197" s="160">
        <v>0</v>
      </c>
      <c r="D197" s="160">
        <v>0</v>
      </c>
      <c r="E197" s="160">
        <v>0</v>
      </c>
      <c r="F197" s="160">
        <v>0</v>
      </c>
      <c r="G197" s="331" t="str">
        <f t="shared" si="30"/>
        <v> </v>
      </c>
      <c r="H197" s="332"/>
    </row>
    <row r="198" spans="1:8" s="16" customFormat="1" ht="14.25" customHeight="1">
      <c r="A198" s="27" t="s">
        <v>107</v>
      </c>
      <c r="B198" s="18" t="s">
        <v>97</v>
      </c>
      <c r="C198" s="131">
        <f>C188</f>
        <v>0</v>
      </c>
      <c r="D198" s="131">
        <f>D188</f>
        <v>0</v>
      </c>
      <c r="E198" s="131">
        <f>E188</f>
        <v>0</v>
      </c>
      <c r="F198" s="131">
        <f>F188</f>
        <v>0</v>
      </c>
      <c r="G198" s="331" t="str">
        <f t="shared" si="30"/>
        <v> </v>
      </c>
      <c r="H198" s="332"/>
    </row>
    <row r="199" spans="1:8" s="16" customFormat="1" ht="14.25" customHeight="1">
      <c r="A199" s="33" t="s">
        <v>108</v>
      </c>
      <c r="B199" s="34" t="s">
        <v>84</v>
      </c>
      <c r="C199" s="162">
        <f>-(C170)</f>
        <v>0</v>
      </c>
      <c r="D199" s="162">
        <f>-(D170)</f>
        <v>0</v>
      </c>
      <c r="E199" s="162">
        <f>-(E170)</f>
        <v>0</v>
      </c>
      <c r="F199" s="162">
        <f>-(F170)</f>
        <v>0</v>
      </c>
      <c r="G199" s="333" t="str">
        <f t="shared" si="30"/>
        <v> </v>
      </c>
      <c r="H199" s="334"/>
    </row>
    <row r="200" spans="1:8" s="16" customFormat="1" ht="14.25" customHeight="1">
      <c r="A200" s="23"/>
      <c r="B200" s="24"/>
      <c r="C200" s="187"/>
      <c r="D200" s="187"/>
      <c r="E200" s="187"/>
      <c r="F200" s="187"/>
      <c r="G200" s="331" t="str">
        <f t="shared" si="30"/>
        <v> </v>
      </c>
      <c r="H200" s="332"/>
    </row>
    <row r="201" spans="1:8" s="16" customFormat="1" ht="14.25" customHeight="1" thickBot="1">
      <c r="A201" s="33" t="s">
        <v>109</v>
      </c>
      <c r="B201" s="34" t="s">
        <v>88</v>
      </c>
      <c r="C201" s="272">
        <f>SUM(C195:C199)</f>
        <v>-16029.37</v>
      </c>
      <c r="D201" s="272">
        <f>SUM(D195:D199)</f>
        <v>414580.39</v>
      </c>
      <c r="E201" s="272">
        <f>SUM(E195:E199)</f>
        <v>0</v>
      </c>
      <c r="F201" s="272">
        <f>SUM(F195:F199)</f>
        <v>0</v>
      </c>
      <c r="G201" s="335">
        <f t="shared" si="30"/>
        <v>11446077.95</v>
      </c>
      <c r="H201" s="336"/>
    </row>
    <row r="202" spans="1:8" s="16" customFormat="1" ht="14.25" customHeight="1">
      <c r="A202" s="80" t="s">
        <v>195</v>
      </c>
      <c r="B202" s="24"/>
      <c r="C202" s="52" t="str">
        <f>IF(C189=C201," ","NOT BALANCED")</f>
        <v> </v>
      </c>
      <c r="D202" s="52" t="str">
        <f>IF(D189=D201," ","NOT BALANCED")</f>
        <v> </v>
      </c>
      <c r="E202" s="52" t="str">
        <f>IF(E189=E201," ","NOT BALANCED")</f>
        <v> </v>
      </c>
      <c r="F202" s="52" t="str">
        <f>IF(F189=F201," ","NOT BALANCED")</f>
        <v> </v>
      </c>
      <c r="G202" s="337">
        <f>IF((SUM(C40:H40)+SUM(C98:H98)+SUM(C150:H150)+SUM(C202:F202))=0," ",SUM(C40:H40)+SUM(C98:H98)+SUM(C150:H150)+SUM(C202:F202))</f>
        <v>1672491</v>
      </c>
      <c r="H202" s="337"/>
    </row>
    <row r="203" spans="1:7" s="16" customFormat="1" ht="14.25" customHeight="1">
      <c r="A203" s="43" t="s">
        <v>110</v>
      </c>
      <c r="B203" s="36"/>
      <c r="C203" s="36"/>
      <c r="D203" s="36"/>
      <c r="E203" s="36"/>
      <c r="F203" s="36"/>
      <c r="G203" s="36"/>
    </row>
    <row r="204" spans="1:6" s="16" customFormat="1" ht="14.25" customHeight="1">
      <c r="A204" s="12"/>
      <c r="B204" s="10"/>
      <c r="C204" s="106"/>
      <c r="E204" s="106"/>
      <c r="F204" s="10"/>
    </row>
    <row r="205" spans="1:7" s="117" customFormat="1" ht="14.25" customHeight="1">
      <c r="A205" s="117" t="str">
        <f>A1</f>
        <v>SCHOOL DISTRICT/CHARTER:  GADSDEN</v>
      </c>
      <c r="B205" s="159"/>
      <c r="C205" s="14"/>
      <c r="E205" s="14"/>
      <c r="F205" s="158" t="s">
        <v>1</v>
      </c>
      <c r="G205" s="180" t="str">
        <f>G1</f>
        <v>DONA ANA</v>
      </c>
    </row>
    <row r="206" spans="1:7" s="117" customFormat="1" ht="14.25" customHeight="1">
      <c r="A206" s="117" t="str">
        <f>A104</f>
        <v>Month/Quarter:                      MARCH 2005</v>
      </c>
      <c r="C206" s="158" t="s">
        <v>198</v>
      </c>
      <c r="D206" s="14"/>
      <c r="E206" s="14"/>
      <c r="F206" s="190" t="s">
        <v>151</v>
      </c>
      <c r="G206" s="191" t="str">
        <f>G2</f>
        <v>19</v>
      </c>
    </row>
    <row r="207" spans="3:7" s="16" customFormat="1" ht="14.25" customHeight="1">
      <c r="C207" s="106"/>
      <c r="D207" s="106"/>
      <c r="E207" s="106"/>
      <c r="F207" s="106"/>
      <c r="G207" s="106"/>
    </row>
    <row r="208" spans="1:6" s="16" customFormat="1" ht="14.25" customHeight="1">
      <c r="A208" s="16" t="s">
        <v>199</v>
      </c>
      <c r="B208" s="12" t="s">
        <v>152</v>
      </c>
      <c r="C208" s="12" t="s">
        <v>153</v>
      </c>
      <c r="D208" s="12" t="s">
        <v>154</v>
      </c>
      <c r="E208" s="106"/>
      <c r="F208" s="106"/>
    </row>
    <row r="209" spans="1:6" s="16" customFormat="1" ht="14.25" customHeight="1">
      <c r="A209" s="16" t="s">
        <v>200</v>
      </c>
      <c r="B209" s="13" t="s">
        <v>145</v>
      </c>
      <c r="C209" s="13" t="s">
        <v>152</v>
      </c>
      <c r="D209" s="13" t="s">
        <v>145</v>
      </c>
      <c r="E209" s="342" t="s">
        <v>155</v>
      </c>
      <c r="F209" s="342"/>
    </row>
    <row r="210" spans="1:8" s="16" customFormat="1" ht="14.25" customHeight="1">
      <c r="A210" s="117" t="s">
        <v>201</v>
      </c>
      <c r="B210" s="156"/>
      <c r="C210" s="156"/>
      <c r="D210" s="156"/>
      <c r="E210" s="157"/>
      <c r="F210" s="115"/>
      <c r="G210" s="117"/>
      <c r="H210" s="117"/>
    </row>
    <row r="211" spans="1:8" s="16" customFormat="1" ht="14.25" customHeight="1">
      <c r="A211" s="117" t="s">
        <v>202</v>
      </c>
      <c r="B211" s="51" t="s">
        <v>73</v>
      </c>
      <c r="C211" s="274">
        <v>-818171.87</v>
      </c>
      <c r="D211" s="51"/>
      <c r="E211" s="51" t="s">
        <v>257</v>
      </c>
      <c r="F211" s="51"/>
      <c r="G211" s="118"/>
      <c r="H211" s="117"/>
    </row>
    <row r="212" spans="1:8" s="16" customFormat="1" ht="14.25" customHeight="1">
      <c r="A212" s="117"/>
      <c r="B212" s="51" t="s">
        <v>73</v>
      </c>
      <c r="C212" s="274">
        <v>-8824.54</v>
      </c>
      <c r="D212" s="51"/>
      <c r="E212" s="51" t="s">
        <v>258</v>
      </c>
      <c r="F212" s="51"/>
      <c r="G212" s="118"/>
      <c r="H212" s="117"/>
    </row>
    <row r="213" spans="1:8" s="16" customFormat="1" ht="14.25" customHeight="1">
      <c r="A213" s="117"/>
      <c r="B213" s="51" t="s">
        <v>75</v>
      </c>
      <c r="C213" s="274">
        <v>-1248.96</v>
      </c>
      <c r="D213" s="51"/>
      <c r="E213" s="51" t="s">
        <v>257</v>
      </c>
      <c r="F213" s="51"/>
      <c r="G213" s="118"/>
      <c r="H213" s="117"/>
    </row>
    <row r="214" spans="1:8" s="16" customFormat="1" ht="14.25" customHeight="1">
      <c r="A214" s="117"/>
      <c r="B214" s="51" t="s">
        <v>121</v>
      </c>
      <c r="C214" s="274">
        <v>-96991.83</v>
      </c>
      <c r="D214" s="51"/>
      <c r="E214" s="51" t="s">
        <v>257</v>
      </c>
      <c r="F214" s="51"/>
      <c r="G214" s="118"/>
      <c r="H214" s="117"/>
    </row>
    <row r="215" spans="1:8" s="16" customFormat="1" ht="14.25" customHeight="1">
      <c r="A215" s="117"/>
      <c r="B215" s="51" t="s">
        <v>122</v>
      </c>
      <c r="C215" s="274">
        <v>-7691.82</v>
      </c>
      <c r="D215" s="51"/>
      <c r="E215" s="51" t="s">
        <v>257</v>
      </c>
      <c r="F215" s="51"/>
      <c r="G215" s="118"/>
      <c r="H215" s="117"/>
    </row>
    <row r="216" spans="1:8" s="16" customFormat="1" ht="14.25" customHeight="1">
      <c r="A216" s="117"/>
      <c r="B216" s="51"/>
      <c r="C216" s="274"/>
      <c r="D216" s="51"/>
      <c r="E216" s="51"/>
      <c r="F216" s="51"/>
      <c r="G216" s="118"/>
      <c r="H216" s="117"/>
    </row>
    <row r="217" spans="1:8" s="16" customFormat="1" ht="14.25" customHeight="1">
      <c r="A217" s="117"/>
      <c r="B217" s="51"/>
      <c r="C217" s="117"/>
      <c r="D217" s="117"/>
      <c r="E217" s="117"/>
      <c r="F217" s="51"/>
      <c r="G217" s="118"/>
      <c r="H217" s="117"/>
    </row>
    <row r="218" spans="1:8" s="16" customFormat="1" ht="14.25" customHeight="1">
      <c r="A218" s="117"/>
      <c r="B218" s="51"/>
      <c r="C218" s="274">
        <v>0</v>
      </c>
      <c r="D218" s="51"/>
      <c r="E218" s="51"/>
      <c r="F218" s="51"/>
      <c r="G218" s="118"/>
      <c r="H218" s="117"/>
    </row>
    <row r="219" spans="1:8" s="16" customFormat="1" ht="14.25" customHeight="1">
      <c r="A219" s="117"/>
      <c r="B219" s="51"/>
      <c r="C219" s="274">
        <v>0</v>
      </c>
      <c r="D219" s="51"/>
      <c r="E219" s="51"/>
      <c r="F219" s="51"/>
      <c r="G219" s="118"/>
      <c r="H219" s="117"/>
    </row>
    <row r="220" spans="1:8" s="16" customFormat="1" ht="14.25" customHeight="1">
      <c r="A220" s="117" t="s">
        <v>25</v>
      </c>
      <c r="B220" s="51"/>
      <c r="C220" s="274">
        <v>0</v>
      </c>
      <c r="D220" s="51"/>
      <c r="E220" s="51"/>
      <c r="F220" s="51"/>
      <c r="G220" s="118"/>
      <c r="H220" s="117"/>
    </row>
    <row r="221" spans="1:8" s="16" customFormat="1" ht="14.25" customHeight="1">
      <c r="A221" s="117"/>
      <c r="B221" s="51"/>
      <c r="C221" s="274">
        <v>0</v>
      </c>
      <c r="D221" s="51"/>
      <c r="E221" s="51"/>
      <c r="F221" s="51"/>
      <c r="G221" s="118"/>
      <c r="H221" s="117"/>
    </row>
    <row r="222" spans="1:8" s="16" customFormat="1" ht="14.25" customHeight="1">
      <c r="A222" s="117"/>
      <c r="B222" s="51"/>
      <c r="C222" s="274">
        <v>0</v>
      </c>
      <c r="D222" s="51"/>
      <c r="E222" s="51"/>
      <c r="F222" s="51"/>
      <c r="G222" s="118"/>
      <c r="H222" s="117"/>
    </row>
    <row r="223" spans="1:8" s="16" customFormat="1" ht="14.25" customHeight="1">
      <c r="A223" s="117"/>
      <c r="B223" s="51"/>
      <c r="C223" s="274">
        <v>0</v>
      </c>
      <c r="D223" s="51"/>
      <c r="E223" s="51"/>
      <c r="F223" s="51"/>
      <c r="G223" s="118"/>
      <c r="H223" s="117"/>
    </row>
    <row r="224" spans="1:8" s="16" customFormat="1" ht="14.25" customHeight="1">
      <c r="A224" s="117"/>
      <c r="B224" s="51"/>
      <c r="C224" s="274">
        <v>0</v>
      </c>
      <c r="D224" s="51"/>
      <c r="E224" s="51"/>
      <c r="F224" s="51"/>
      <c r="G224" s="118"/>
      <c r="H224" s="117"/>
    </row>
    <row r="225" spans="1:8" s="16" customFormat="1" ht="14.25" customHeight="1">
      <c r="A225" s="117"/>
      <c r="B225" s="51"/>
      <c r="C225" s="274">
        <v>0</v>
      </c>
      <c r="D225" s="51"/>
      <c r="E225" s="51"/>
      <c r="F225" s="51"/>
      <c r="G225" s="118"/>
      <c r="H225" s="117"/>
    </row>
    <row r="226" spans="1:8" s="16" customFormat="1" ht="14.25" customHeight="1">
      <c r="A226" s="117"/>
      <c r="B226" s="51"/>
      <c r="C226" s="274">
        <v>0</v>
      </c>
      <c r="D226" s="51"/>
      <c r="E226" s="51"/>
      <c r="F226" s="51"/>
      <c r="G226" s="118"/>
      <c r="H226" s="117"/>
    </row>
    <row r="227" spans="1:8" s="16" customFormat="1" ht="14.25" customHeight="1">
      <c r="A227" s="117"/>
      <c r="B227" s="51"/>
      <c r="C227" s="274">
        <v>0</v>
      </c>
      <c r="D227" s="51"/>
      <c r="E227" s="51"/>
      <c r="F227" s="51"/>
      <c r="G227" s="118"/>
      <c r="H227" s="117"/>
    </row>
    <row r="228" spans="1:8" s="16" customFormat="1" ht="14.25" customHeight="1">
      <c r="A228" s="117"/>
      <c r="B228" s="118"/>
      <c r="C228" s="274">
        <v>0</v>
      </c>
      <c r="D228" s="118"/>
      <c r="E228" s="118"/>
      <c r="F228" s="118"/>
      <c r="G228" s="118"/>
      <c r="H228" s="117"/>
    </row>
    <row r="229" spans="1:8" s="16" customFormat="1" ht="14.25" customHeight="1">
      <c r="A229" s="117"/>
      <c r="B229" s="118"/>
      <c r="C229" s="274">
        <v>0</v>
      </c>
      <c r="D229" s="118"/>
      <c r="E229" s="118"/>
      <c r="F229" s="118"/>
      <c r="G229" s="118"/>
      <c r="H229" s="117"/>
    </row>
    <row r="230" spans="1:8" s="16" customFormat="1" ht="14.25" customHeight="1">
      <c r="A230" s="117"/>
      <c r="B230" s="118"/>
      <c r="C230" s="274">
        <v>0</v>
      </c>
      <c r="D230" s="118"/>
      <c r="E230" s="118"/>
      <c r="F230" s="118"/>
      <c r="G230" s="118"/>
      <c r="H230" s="117"/>
    </row>
    <row r="231" spans="1:8" s="16" customFormat="1" ht="14.25" customHeight="1">
      <c r="A231" s="117"/>
      <c r="B231" s="118"/>
      <c r="C231" s="274">
        <v>0</v>
      </c>
      <c r="D231" s="118"/>
      <c r="E231" s="118"/>
      <c r="F231" s="118"/>
      <c r="G231" s="118"/>
      <c r="H231" s="117"/>
    </row>
    <row r="232" spans="1:8" s="16" customFormat="1" ht="14.25" customHeight="1">
      <c r="A232" s="117"/>
      <c r="B232" s="118"/>
      <c r="C232" s="274">
        <v>0</v>
      </c>
      <c r="D232" s="118"/>
      <c r="E232" s="118"/>
      <c r="F232" s="118"/>
      <c r="G232" s="118"/>
      <c r="H232" s="117"/>
    </row>
    <row r="233" spans="1:8" s="16" customFormat="1" ht="14.25" customHeight="1">
      <c r="A233" s="117"/>
      <c r="B233" s="118"/>
      <c r="C233" s="274">
        <v>0</v>
      </c>
      <c r="D233" s="118"/>
      <c r="E233" s="118"/>
      <c r="F233" s="118"/>
      <c r="G233" s="118"/>
      <c r="H233" s="117"/>
    </row>
    <row r="234" spans="1:8" s="16" customFormat="1" ht="14.25" customHeight="1">
      <c r="A234" s="117"/>
      <c r="B234" s="118"/>
      <c r="C234" s="274">
        <v>0</v>
      </c>
      <c r="D234" s="118"/>
      <c r="E234" s="118"/>
      <c r="F234" s="118"/>
      <c r="G234" s="118"/>
      <c r="H234" s="117"/>
    </row>
    <row r="235" spans="1:8" s="16" customFormat="1" ht="14.25" customHeight="1">
      <c r="A235" s="117"/>
      <c r="B235" s="118"/>
      <c r="C235" s="274">
        <v>0</v>
      </c>
      <c r="D235" s="118"/>
      <c r="E235" s="118"/>
      <c r="F235" s="118"/>
      <c r="G235" s="118"/>
      <c r="H235" s="117"/>
    </row>
    <row r="236" s="16" customFormat="1" ht="14.25" customHeight="1"/>
    <row r="237" s="16" customFormat="1" ht="14.25" customHeight="1"/>
    <row r="238" s="16" customFormat="1" ht="14.25" customHeight="1"/>
    <row r="239" s="16" customFormat="1" ht="14.25" customHeight="1"/>
    <row r="240" s="16" customFormat="1" ht="14.25" customHeight="1"/>
    <row r="241" s="16" customFormat="1" ht="14.25" customHeight="1"/>
    <row r="242" s="16" customFormat="1" ht="14.25" customHeight="1"/>
    <row r="243" s="16" customFormat="1" ht="14.25" customHeight="1"/>
    <row r="244" s="16" customFormat="1" ht="14.25" customHeight="1"/>
    <row r="245" s="16" customFormat="1" ht="14.25" customHeight="1"/>
    <row r="246" s="16" customFormat="1" ht="14.25" customHeight="1"/>
    <row r="247" s="16" customFormat="1" ht="14.25" customHeight="1"/>
    <row r="248" s="16" customFormat="1" ht="14.25" customHeight="1"/>
    <row r="249" s="16" customFormat="1" ht="14.25" customHeight="1"/>
    <row r="250" s="16" customFormat="1" ht="14.25" customHeight="1"/>
    <row r="251" s="16" customFormat="1" ht="14.25" customHeight="1"/>
    <row r="252" s="16" customFormat="1" ht="14.25" customHeight="1"/>
    <row r="253" s="16" customFormat="1" ht="14.25" customHeight="1"/>
    <row r="254" s="16" customFormat="1" ht="14.25" customHeight="1"/>
    <row r="255" s="16" customFormat="1" ht="14.25" customHeight="1"/>
    <row r="256" s="16" customFormat="1" ht="14.25" customHeight="1"/>
    <row r="257" s="16" customFormat="1" ht="14.25" customHeight="1"/>
    <row r="258" s="16" customFormat="1" ht="14.25" customHeight="1"/>
    <row r="259" s="16" customFormat="1" ht="14.25" customHeight="1"/>
    <row r="260" s="16" customFormat="1" ht="14.25" customHeight="1"/>
    <row r="261" s="16" customFormat="1" ht="14.25" customHeight="1"/>
    <row r="262" s="16" customFormat="1" ht="14.25" customHeight="1"/>
    <row r="263" s="16" customFormat="1" ht="14.25" customHeight="1"/>
    <row r="264" s="16" customFormat="1" ht="14.25" customHeight="1"/>
    <row r="265" s="16" customFormat="1" ht="14.25" customHeight="1"/>
    <row r="266" s="16" customFormat="1" ht="14.25" customHeight="1"/>
    <row r="267" s="16" customFormat="1" ht="14.25" customHeight="1"/>
    <row r="268" s="16" customFormat="1" ht="14.25" customHeight="1"/>
    <row r="269" s="16" customFormat="1" ht="14.25" customHeight="1"/>
    <row r="270" s="16" customFormat="1" ht="14.25" customHeight="1"/>
    <row r="271" s="16" customFormat="1" ht="14.25" customHeight="1"/>
    <row r="272" s="16" customFormat="1" ht="14.25" customHeight="1"/>
    <row r="273" s="16" customFormat="1" ht="14.25" customHeight="1"/>
    <row r="274" s="16" customFormat="1" ht="14.25" customHeight="1"/>
    <row r="275" s="16" customFormat="1" ht="14.25" customHeight="1"/>
    <row r="276" s="16" customFormat="1" ht="14.25" customHeight="1"/>
    <row r="277" s="16" customFormat="1" ht="14.25" customHeight="1"/>
  </sheetData>
  <sheetProtection password="D1D6" sheet="1" objects="1" scenarios="1"/>
  <mergeCells count="47">
    <mergeCell ref="E209:F209"/>
    <mergeCell ref="G157:H157"/>
    <mergeCell ref="G158:H158"/>
    <mergeCell ref="G159:H159"/>
    <mergeCell ref="G160:H160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161:H161"/>
    <mergeCell ref="G162:H162"/>
    <mergeCell ref="G163:H163"/>
    <mergeCell ref="G164:H164"/>
    <mergeCell ref="G169:H169"/>
    <mergeCell ref="G165:H165"/>
    <mergeCell ref="G166:H166"/>
    <mergeCell ref="G167:H167"/>
    <mergeCell ref="G168:H168"/>
  </mergeCells>
  <printOptions horizontalCentered="1"/>
  <pageMargins left="0.25" right="0.25" top="0.6" bottom="0.38" header="0.27" footer="0.21"/>
  <pageSetup horizontalDpi="600" verticalDpi="600" orientation="landscape" scale="71" r:id="rId2"/>
  <headerFooter alignWithMargins="0">
    <oddHeader>&amp;L&amp;9&amp;D  &amp;T&amp;C&amp;"Courier,Bold"CASH RECONCILIATION FOR THE 2004-05 FISCAL YEAR&amp;RSDE 908F</oddHeader>
    <oddFooter>&amp;CPage &amp;P</oddFooter>
  </headerFooter>
  <rowBreaks count="4" manualBreakCount="4">
    <brk id="50" max="7" man="1"/>
    <brk id="101" max="7" man="1"/>
    <brk id="152" max="7" man="1"/>
    <brk id="20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7"/>
  <sheetViews>
    <sheetView zoomScale="75" zoomScaleNormal="75" zoomScaleSheetLayoutView="100" workbookViewId="0" topLeftCell="A1">
      <selection activeCell="A4" sqref="A4"/>
    </sheetView>
  </sheetViews>
  <sheetFormatPr defaultColWidth="9.00390625" defaultRowHeight="14.25" customHeight="1"/>
  <cols>
    <col min="1" max="1" width="54.25390625" style="124" customWidth="1"/>
    <col min="2" max="2" width="6.875" style="91" customWidth="1"/>
    <col min="3" max="9" width="18.375" style="91" customWidth="1"/>
    <col min="10" max="16384" width="9.00390625" style="91" customWidth="1"/>
  </cols>
  <sheetData>
    <row r="1" spans="1:10" s="111" customFormat="1" ht="14.25" customHeight="1">
      <c r="A1" s="119" t="s">
        <v>246</v>
      </c>
      <c r="B1" s="109"/>
      <c r="C1" s="109"/>
      <c r="D1" s="109"/>
      <c r="E1" s="110"/>
      <c r="G1" s="109" t="s">
        <v>1</v>
      </c>
      <c r="H1" s="120" t="s">
        <v>235</v>
      </c>
      <c r="J1" s="111" t="s">
        <v>25</v>
      </c>
    </row>
    <row r="2" spans="1:8" s="111" customFormat="1" ht="14.25" customHeight="1">
      <c r="A2" s="121" t="s">
        <v>254</v>
      </c>
      <c r="B2" s="109"/>
      <c r="C2" s="110"/>
      <c r="D2" s="110"/>
      <c r="E2" s="113"/>
      <c r="G2" s="114" t="s">
        <v>217</v>
      </c>
      <c r="H2" s="324" t="s">
        <v>236</v>
      </c>
    </row>
    <row r="3" spans="2:8" ht="7.5" customHeight="1">
      <c r="B3" s="3"/>
      <c r="C3" s="2"/>
      <c r="D3" s="2"/>
      <c r="E3" s="4"/>
      <c r="F3" s="5"/>
      <c r="G3" s="6"/>
      <c r="H3" s="91" t="s">
        <v>25</v>
      </c>
    </row>
    <row r="4" spans="1:9" ht="14.25" customHeight="1">
      <c r="A4" s="125"/>
      <c r="B4" s="93"/>
      <c r="C4" s="8" t="s">
        <v>66</v>
      </c>
      <c r="D4" s="8" t="s">
        <v>67</v>
      </c>
      <c r="E4" s="8" t="s">
        <v>156</v>
      </c>
      <c r="F4" s="126" t="s">
        <v>69</v>
      </c>
      <c r="G4" s="8" t="s">
        <v>70</v>
      </c>
      <c r="H4" s="8" t="s">
        <v>71</v>
      </c>
      <c r="I4" s="9"/>
    </row>
    <row r="5" spans="1:9" s="16" customFormat="1" ht="14.25" customHeight="1">
      <c r="A5" s="127"/>
      <c r="B5" s="36"/>
      <c r="C5" s="18" t="s">
        <v>6</v>
      </c>
      <c r="D5" s="18" t="s">
        <v>6</v>
      </c>
      <c r="E5" s="18" t="s">
        <v>6</v>
      </c>
      <c r="F5" s="67" t="s">
        <v>72</v>
      </c>
      <c r="G5" s="18" t="s">
        <v>6</v>
      </c>
      <c r="H5" s="19" t="s">
        <v>6</v>
      </c>
      <c r="I5" s="20"/>
    </row>
    <row r="6" spans="1:9" s="98" customFormat="1" ht="14.25" customHeight="1">
      <c r="A6" s="128"/>
      <c r="B6" s="96"/>
      <c r="C6" s="21" t="s">
        <v>73</v>
      </c>
      <c r="D6" s="21" t="s">
        <v>74</v>
      </c>
      <c r="E6" s="21" t="s">
        <v>75</v>
      </c>
      <c r="F6" s="87" t="s">
        <v>76</v>
      </c>
      <c r="G6" s="21" t="s">
        <v>77</v>
      </c>
      <c r="H6" s="21" t="s">
        <v>78</v>
      </c>
      <c r="I6" s="22"/>
    </row>
    <row r="7" spans="1:9" s="16" customFormat="1" ht="8.25" customHeight="1">
      <c r="A7" s="53"/>
      <c r="B7" s="24"/>
      <c r="C7" s="24"/>
      <c r="D7" s="24"/>
      <c r="E7" s="24"/>
      <c r="F7" s="54"/>
      <c r="G7" s="24"/>
      <c r="H7" s="25"/>
      <c r="I7" s="26"/>
    </row>
    <row r="8" spans="1:9" s="16" customFormat="1" ht="14.25" customHeight="1">
      <c r="A8" s="169" t="s">
        <v>249</v>
      </c>
      <c r="B8" s="129"/>
      <c r="C8" s="28" t="s">
        <v>25</v>
      </c>
      <c r="D8" s="28"/>
      <c r="E8" s="28"/>
      <c r="F8" s="56"/>
      <c r="G8" s="28"/>
      <c r="H8" s="29"/>
      <c r="I8" s="38"/>
    </row>
    <row r="9" spans="1:9" s="16" customFormat="1" ht="14.25" customHeight="1">
      <c r="A9" s="83" t="s">
        <v>210</v>
      </c>
      <c r="B9" s="18" t="s">
        <v>81</v>
      </c>
      <c r="C9" s="275">
        <f>3023973.52-1000000</f>
        <v>2023973.52</v>
      </c>
      <c r="D9" s="275">
        <v>0</v>
      </c>
      <c r="E9" s="275">
        <v>24580.19</v>
      </c>
      <c r="F9" s="263">
        <v>252757.22</v>
      </c>
      <c r="G9" s="275">
        <f>2689506.23-2000000</f>
        <v>689506.23</v>
      </c>
      <c r="H9" s="276">
        <v>30350.87</v>
      </c>
      <c r="I9" s="277"/>
    </row>
    <row r="10" spans="1:9" s="16" customFormat="1" ht="14.25" customHeight="1">
      <c r="A10" s="76"/>
      <c r="B10" s="36"/>
      <c r="C10" s="264"/>
      <c r="D10" s="264"/>
      <c r="E10" s="264"/>
      <c r="F10" s="269"/>
      <c r="G10" s="264"/>
      <c r="H10" s="265"/>
      <c r="I10" s="266"/>
    </row>
    <row r="11" spans="1:9" s="16" customFormat="1" ht="14.25" customHeight="1">
      <c r="A11" s="55" t="s">
        <v>193</v>
      </c>
      <c r="B11" s="18" t="s">
        <v>84</v>
      </c>
      <c r="C11" s="302">
        <v>0</v>
      </c>
      <c r="D11" s="302">
        <v>0</v>
      </c>
      <c r="E11" s="302">
        <v>0</v>
      </c>
      <c r="F11" s="302">
        <v>0</v>
      </c>
      <c r="G11" s="302">
        <v>0</v>
      </c>
      <c r="H11" s="312">
        <v>0</v>
      </c>
      <c r="I11" s="313"/>
    </row>
    <row r="12" spans="1:9" s="16" customFormat="1" ht="14.25" customHeight="1">
      <c r="A12" s="55" t="s">
        <v>189</v>
      </c>
      <c r="B12" s="18" t="s">
        <v>25</v>
      </c>
      <c r="C12" s="264"/>
      <c r="D12" s="264"/>
      <c r="E12" s="264"/>
      <c r="F12" s="269"/>
      <c r="G12" s="264"/>
      <c r="H12" s="265"/>
      <c r="I12" s="266"/>
    </row>
    <row r="13" spans="1:10" s="16" customFormat="1" ht="14.25" customHeight="1">
      <c r="A13" s="75" t="s">
        <v>190</v>
      </c>
      <c r="B13" s="18" t="s">
        <v>157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7">
        <v>0</v>
      </c>
      <c r="I13" s="268"/>
      <c r="J13" s="107"/>
    </row>
    <row r="14" spans="1:9" s="16" customFormat="1" ht="12" customHeight="1">
      <c r="A14" s="75"/>
      <c r="B14" s="18"/>
      <c r="C14" s="264"/>
      <c r="D14" s="264"/>
      <c r="E14" s="264"/>
      <c r="F14" s="269"/>
      <c r="G14" s="264"/>
      <c r="H14" s="265"/>
      <c r="I14" s="266"/>
    </row>
    <row r="15" spans="1:9" s="16" customFormat="1" ht="14.25" customHeight="1">
      <c r="A15" s="169" t="s">
        <v>247</v>
      </c>
      <c r="B15" s="18" t="s">
        <v>81</v>
      </c>
      <c r="C15" s="263">
        <v>1000000</v>
      </c>
      <c r="D15" s="263">
        <v>0</v>
      </c>
      <c r="E15" s="263">
        <v>0</v>
      </c>
      <c r="F15" s="263">
        <v>0</v>
      </c>
      <c r="G15" s="263">
        <v>2000000</v>
      </c>
      <c r="H15" s="263">
        <v>50000</v>
      </c>
      <c r="I15" s="268"/>
    </row>
    <row r="16" spans="1:9" s="16" customFormat="1" ht="12" customHeight="1">
      <c r="A16" s="127"/>
      <c r="B16" s="36"/>
      <c r="C16" s="278"/>
      <c r="D16" s="278"/>
      <c r="E16" s="278"/>
      <c r="F16" s="279"/>
      <c r="G16" s="278"/>
      <c r="H16" s="280"/>
      <c r="I16" s="281"/>
    </row>
    <row r="17" spans="1:19" s="16" customFormat="1" ht="14.25" customHeight="1">
      <c r="A17" s="256" t="s">
        <v>255</v>
      </c>
      <c r="B17" s="34" t="s">
        <v>88</v>
      </c>
      <c r="C17" s="272">
        <f aca="true" t="shared" si="0" ref="C17:H17">C9+C11+C13+C15</f>
        <v>3023973.52</v>
      </c>
      <c r="D17" s="272">
        <f t="shared" si="0"/>
        <v>0</v>
      </c>
      <c r="E17" s="272">
        <f t="shared" si="0"/>
        <v>24580.19</v>
      </c>
      <c r="F17" s="272">
        <f t="shared" si="0"/>
        <v>252757.22</v>
      </c>
      <c r="G17" s="272">
        <f t="shared" si="0"/>
        <v>2689506.23</v>
      </c>
      <c r="H17" s="272">
        <f t="shared" si="0"/>
        <v>80350.87</v>
      </c>
      <c r="I17" s="273" t="s">
        <v>25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9" s="16" customFormat="1" ht="14.25" customHeight="1">
      <c r="A18" s="127"/>
      <c r="B18" s="104"/>
      <c r="C18" s="282"/>
      <c r="D18" s="282"/>
      <c r="E18" s="282"/>
      <c r="F18" s="283"/>
      <c r="G18" s="282"/>
      <c r="H18" s="284"/>
      <c r="I18" s="285"/>
    </row>
    <row r="19" spans="1:9" s="16" customFormat="1" ht="14.25" customHeight="1">
      <c r="A19" s="55" t="s">
        <v>192</v>
      </c>
      <c r="B19" s="36"/>
      <c r="C19" s="278"/>
      <c r="D19" s="278"/>
      <c r="E19" s="278"/>
      <c r="F19" s="279"/>
      <c r="G19" s="278"/>
      <c r="H19" s="280"/>
      <c r="I19" s="281"/>
    </row>
    <row r="20" spans="1:9" s="16" customFormat="1" ht="14.25" customHeight="1">
      <c r="A20" s="75" t="s">
        <v>191</v>
      </c>
      <c r="B20" s="18" t="s">
        <v>81</v>
      </c>
      <c r="C20" s="275">
        <v>55997778.37</v>
      </c>
      <c r="D20" s="275">
        <v>0</v>
      </c>
      <c r="E20" s="275">
        <v>3863704</v>
      </c>
      <c r="F20" s="263">
        <v>929924</v>
      </c>
      <c r="G20" s="275">
        <v>4672827.31</v>
      </c>
      <c r="H20" s="276">
        <v>80461.42</v>
      </c>
      <c r="I20" s="277"/>
    </row>
    <row r="21" spans="1:9" s="16" customFormat="1" ht="12" customHeight="1">
      <c r="A21" s="127"/>
      <c r="B21" s="36"/>
      <c r="C21" s="264"/>
      <c r="D21" s="264"/>
      <c r="E21" s="264"/>
      <c r="F21" s="269"/>
      <c r="G21" s="264"/>
      <c r="H21" s="265"/>
      <c r="I21" s="266"/>
    </row>
    <row r="22" spans="1:9" s="16" customFormat="1" ht="14.25" customHeight="1">
      <c r="A22" s="55" t="s">
        <v>158</v>
      </c>
      <c r="B22" s="18" t="s">
        <v>81</v>
      </c>
      <c r="C22" s="275">
        <v>0</v>
      </c>
      <c r="D22" s="275">
        <v>0</v>
      </c>
      <c r="E22" s="275">
        <v>0</v>
      </c>
      <c r="F22" s="263">
        <v>0</v>
      </c>
      <c r="G22" s="275">
        <v>0</v>
      </c>
      <c r="H22" s="276">
        <v>0</v>
      </c>
      <c r="I22" s="277"/>
    </row>
    <row r="23" spans="1:9" s="16" customFormat="1" ht="14.25" customHeight="1">
      <c r="A23" s="127"/>
      <c r="B23" s="36"/>
      <c r="C23" s="278" t="s">
        <v>25</v>
      </c>
      <c r="D23" s="278"/>
      <c r="E23" s="278"/>
      <c r="F23" s="279"/>
      <c r="G23" s="278"/>
      <c r="H23" s="280"/>
      <c r="I23" s="281"/>
    </row>
    <row r="24" spans="1:15" s="16" customFormat="1" ht="14.25" customHeight="1">
      <c r="A24" s="57" t="s">
        <v>159</v>
      </c>
      <c r="B24" s="34" t="s">
        <v>88</v>
      </c>
      <c r="C24" s="272">
        <f aca="true" t="shared" si="1" ref="C24:H24">C17+C20+C22</f>
        <v>59021751.89</v>
      </c>
      <c r="D24" s="272">
        <f t="shared" si="1"/>
        <v>0</v>
      </c>
      <c r="E24" s="272">
        <f t="shared" si="1"/>
        <v>3888284.19</v>
      </c>
      <c r="F24" s="272">
        <f t="shared" si="1"/>
        <v>1182681.22</v>
      </c>
      <c r="G24" s="272">
        <f t="shared" si="1"/>
        <v>7362333.54</v>
      </c>
      <c r="H24" s="272">
        <f t="shared" si="1"/>
        <v>160812.29</v>
      </c>
      <c r="I24" s="273"/>
      <c r="J24" s="178"/>
      <c r="K24" s="178"/>
      <c r="L24" s="178"/>
      <c r="M24" s="178"/>
      <c r="N24" s="178"/>
      <c r="O24" s="178"/>
    </row>
    <row r="25" spans="1:9" s="16" customFormat="1" ht="11.25" customHeight="1">
      <c r="A25" s="127"/>
      <c r="B25" s="36"/>
      <c r="C25" s="282"/>
      <c r="D25" s="282"/>
      <c r="E25" s="282"/>
      <c r="F25" s="283"/>
      <c r="G25" s="282"/>
      <c r="H25" s="284"/>
      <c r="I25" s="285"/>
    </row>
    <row r="26" spans="1:9" s="16" customFormat="1" ht="14.25" customHeight="1">
      <c r="A26" s="55" t="s">
        <v>160</v>
      </c>
      <c r="B26" s="36"/>
      <c r="C26" s="278"/>
      <c r="D26" s="278"/>
      <c r="E26" s="278"/>
      <c r="F26" s="279"/>
      <c r="G26" s="278"/>
      <c r="H26" s="280"/>
      <c r="I26" s="281"/>
    </row>
    <row r="27" spans="1:9" s="16" customFormat="1" ht="14.25" customHeight="1">
      <c r="A27" s="75" t="s">
        <v>187</v>
      </c>
      <c r="B27" s="18" t="s">
        <v>84</v>
      </c>
      <c r="C27" s="275">
        <v>-53063968.31</v>
      </c>
      <c r="D27" s="275">
        <v>0</v>
      </c>
      <c r="E27" s="275">
        <v>-4137477.06</v>
      </c>
      <c r="F27" s="263">
        <v>-672253.4</v>
      </c>
      <c r="G27" s="275">
        <v>-4510900.45</v>
      </c>
      <c r="H27" s="276">
        <v>-9980.55</v>
      </c>
      <c r="I27" s="277"/>
    </row>
    <row r="28" spans="1:9" s="16" customFormat="1" ht="11.25" customHeight="1">
      <c r="A28" s="127"/>
      <c r="B28" s="36"/>
      <c r="C28" s="264"/>
      <c r="D28" s="264"/>
      <c r="E28" s="264"/>
      <c r="F28" s="269"/>
      <c r="G28" s="264"/>
      <c r="H28" s="265"/>
      <c r="I28" s="266"/>
    </row>
    <row r="29" spans="1:9" s="16" customFormat="1" ht="14.25" customHeight="1">
      <c r="A29" s="55" t="s">
        <v>206</v>
      </c>
      <c r="B29" s="18" t="s">
        <v>84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12">
        <v>0</v>
      </c>
      <c r="I29" s="313"/>
    </row>
    <row r="30" spans="1:9" s="16" customFormat="1" ht="11.25" customHeight="1">
      <c r="A30" s="127"/>
      <c r="B30" s="36"/>
      <c r="C30" s="282"/>
      <c r="D30" s="282"/>
      <c r="E30" s="282"/>
      <c r="F30" s="283"/>
      <c r="G30" s="282"/>
      <c r="H30" s="284"/>
      <c r="I30" s="285"/>
    </row>
    <row r="31" spans="1:9" s="16" customFormat="1" ht="14.25" customHeight="1">
      <c r="A31" s="55" t="s">
        <v>218</v>
      </c>
      <c r="B31" s="18" t="s">
        <v>157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7">
        <v>0</v>
      </c>
      <c r="I31" s="268"/>
    </row>
    <row r="32" spans="1:9" s="16" customFormat="1" ht="11.25" customHeight="1">
      <c r="A32" s="127"/>
      <c r="B32" s="36"/>
      <c r="C32" s="282"/>
      <c r="D32" s="282"/>
      <c r="E32" s="282"/>
      <c r="F32" s="283"/>
      <c r="G32" s="282"/>
      <c r="H32" s="284"/>
      <c r="I32" s="285"/>
    </row>
    <row r="33" spans="1:9" s="16" customFormat="1" ht="14.25" customHeight="1">
      <c r="A33" s="55" t="s">
        <v>162</v>
      </c>
      <c r="B33" s="18" t="s">
        <v>84</v>
      </c>
      <c r="C33" s="264">
        <f>-INVESTMENTS!F9</f>
        <v>-1037349.85</v>
      </c>
      <c r="D33" s="264">
        <f>-INVESTMENTS!F10</f>
        <v>0</v>
      </c>
      <c r="E33" s="264">
        <f>-INVESTMENTS!F11</f>
        <v>0</v>
      </c>
      <c r="F33" s="264">
        <f>-INVESTMENTS!F12</f>
        <v>0</v>
      </c>
      <c r="G33" s="264">
        <f>-INVESTMENTS!F13</f>
        <v>-1269606.93</v>
      </c>
      <c r="H33" s="264">
        <f>-INVESTMENTS!F14</f>
        <v>-50044.91</v>
      </c>
      <c r="I33" s="266"/>
    </row>
    <row r="34" spans="1:9" s="16" customFormat="1" ht="11.25" customHeight="1">
      <c r="A34" s="127"/>
      <c r="B34" s="36"/>
      <c r="C34" s="282"/>
      <c r="D34" s="282"/>
      <c r="E34" s="282"/>
      <c r="F34" s="283"/>
      <c r="G34" s="282"/>
      <c r="H34" s="284"/>
      <c r="I34" s="285"/>
    </row>
    <row r="35" spans="1:9" s="16" customFormat="1" ht="14.25" customHeight="1">
      <c r="A35" s="55" t="s">
        <v>163</v>
      </c>
      <c r="B35" s="18" t="s">
        <v>157</v>
      </c>
      <c r="C35" s="263">
        <f>-818171.87-2089.03</f>
        <v>-820260.9</v>
      </c>
      <c r="D35" s="263">
        <v>0</v>
      </c>
      <c r="E35" s="263">
        <v>-1248.96</v>
      </c>
      <c r="F35" s="263">
        <v>0</v>
      </c>
      <c r="G35" s="263">
        <v>6990.58</v>
      </c>
      <c r="H35" s="267">
        <v>0</v>
      </c>
      <c r="I35" s="266"/>
    </row>
    <row r="36" spans="1:9" s="16" customFormat="1" ht="11.25" customHeight="1">
      <c r="A36" s="127"/>
      <c r="B36" s="36"/>
      <c r="C36" s="282"/>
      <c r="D36" s="282"/>
      <c r="E36" s="282"/>
      <c r="F36" s="283"/>
      <c r="G36" s="282"/>
      <c r="H36" s="284"/>
      <c r="I36" s="285"/>
    </row>
    <row r="37" spans="1:9" s="16" customFormat="1" ht="14.25" customHeight="1">
      <c r="A37" s="57" t="s">
        <v>164</v>
      </c>
      <c r="B37" s="34" t="s">
        <v>88</v>
      </c>
      <c r="C37" s="272">
        <f aca="true" t="shared" si="2" ref="C37:H37">(C24+C27+C29+C31+C33+C35)</f>
        <v>4100172.83</v>
      </c>
      <c r="D37" s="272">
        <f t="shared" si="2"/>
        <v>0</v>
      </c>
      <c r="E37" s="272">
        <f t="shared" si="2"/>
        <v>-250441.83</v>
      </c>
      <c r="F37" s="272">
        <f t="shared" si="2"/>
        <v>510427.82</v>
      </c>
      <c r="G37" s="272">
        <f t="shared" si="2"/>
        <v>1588816.74</v>
      </c>
      <c r="H37" s="272">
        <f t="shared" si="2"/>
        <v>100786.83</v>
      </c>
      <c r="I37" s="273"/>
    </row>
    <row r="38" spans="1:9" s="16" customFormat="1" ht="11.25" customHeight="1">
      <c r="A38" s="127"/>
      <c r="B38" s="36"/>
      <c r="C38" s="282"/>
      <c r="D38" s="282"/>
      <c r="E38" s="282"/>
      <c r="F38" s="283"/>
      <c r="G38" s="282"/>
      <c r="H38" s="284"/>
      <c r="I38" s="285"/>
    </row>
    <row r="39" spans="1:9" s="16" customFormat="1" ht="14.25" customHeight="1">
      <c r="A39" s="55" t="s">
        <v>100</v>
      </c>
      <c r="B39" s="18" t="s">
        <v>81</v>
      </c>
      <c r="C39" s="264">
        <f>INVESTMENTS!F9</f>
        <v>1037349.85</v>
      </c>
      <c r="D39" s="264">
        <f>INVESTMENTS!F10</f>
        <v>0</v>
      </c>
      <c r="E39" s="264">
        <f>INVESTMENTS!F11</f>
        <v>0</v>
      </c>
      <c r="F39" s="269">
        <f>INVESTMENTS!F12</f>
        <v>0</v>
      </c>
      <c r="G39" s="269">
        <f>INVESTMENTS!F13</f>
        <v>1269606.93</v>
      </c>
      <c r="H39" s="265">
        <f>INVESTMENTS!F14</f>
        <v>50044.91</v>
      </c>
      <c r="I39" s="266"/>
    </row>
    <row r="40" spans="1:9" s="16" customFormat="1" ht="11.25" customHeight="1">
      <c r="A40" s="127"/>
      <c r="B40" s="36"/>
      <c r="C40" s="282"/>
      <c r="D40" s="282"/>
      <c r="E40" s="282"/>
      <c r="F40" s="283"/>
      <c r="G40" s="282"/>
      <c r="H40" s="284"/>
      <c r="I40" s="285"/>
    </row>
    <row r="41" spans="1:9" s="16" customFormat="1" ht="14.25" customHeight="1">
      <c r="A41" s="57" t="s">
        <v>165</v>
      </c>
      <c r="B41" s="34" t="s">
        <v>88</v>
      </c>
      <c r="C41" s="272">
        <f aca="true" t="shared" si="3" ref="C41:H41">C37+C39</f>
        <v>5137522.68</v>
      </c>
      <c r="D41" s="272">
        <f t="shared" si="3"/>
        <v>0</v>
      </c>
      <c r="E41" s="272">
        <f t="shared" si="3"/>
        <v>-250441.83</v>
      </c>
      <c r="F41" s="272">
        <f t="shared" si="3"/>
        <v>510427.82</v>
      </c>
      <c r="G41" s="272">
        <f t="shared" si="3"/>
        <v>2858423.67</v>
      </c>
      <c r="H41" s="272">
        <f t="shared" si="3"/>
        <v>150831.74</v>
      </c>
      <c r="I41" s="273"/>
    </row>
    <row r="42" spans="1:9" s="16" customFormat="1" ht="11.25" customHeight="1">
      <c r="A42" s="127"/>
      <c r="B42" s="36"/>
      <c r="C42" s="283"/>
      <c r="D42" s="283"/>
      <c r="E42" s="283"/>
      <c r="F42" s="283"/>
      <c r="G42" s="283"/>
      <c r="H42" s="286"/>
      <c r="I42" s="287"/>
    </row>
    <row r="43" spans="1:9" s="16" customFormat="1" ht="14.25" customHeight="1">
      <c r="A43" s="55" t="s">
        <v>189</v>
      </c>
      <c r="B43" s="18" t="s">
        <v>157</v>
      </c>
      <c r="C43" s="263">
        <v>0</v>
      </c>
      <c r="D43" s="263">
        <v>0</v>
      </c>
      <c r="E43" s="263">
        <v>0</v>
      </c>
      <c r="F43" s="263">
        <v>0</v>
      </c>
      <c r="G43" s="263">
        <v>0</v>
      </c>
      <c r="H43" s="267">
        <v>0</v>
      </c>
      <c r="I43" s="268"/>
    </row>
    <row r="44" spans="1:9" s="16" customFormat="1" ht="14.25" customHeight="1">
      <c r="A44" s="75" t="s">
        <v>190</v>
      </c>
      <c r="B44" s="36"/>
      <c r="C44" s="279"/>
      <c r="D44" s="279"/>
      <c r="E44" s="279"/>
      <c r="F44" s="279"/>
      <c r="G44" s="279" t="s">
        <v>25</v>
      </c>
      <c r="H44" s="288"/>
      <c r="I44" s="289"/>
    </row>
    <row r="45" spans="1:9" s="16" customFormat="1" ht="7.5" customHeight="1">
      <c r="A45" s="127"/>
      <c r="B45" s="36"/>
      <c r="C45" s="283"/>
      <c r="D45" s="283"/>
      <c r="E45" s="283"/>
      <c r="F45" s="283"/>
      <c r="G45" s="283"/>
      <c r="H45" s="286"/>
      <c r="I45" s="287"/>
    </row>
    <row r="46" spans="1:9" s="15" customFormat="1" ht="14.25" customHeight="1">
      <c r="A46" s="57" t="s">
        <v>188</v>
      </c>
      <c r="B46" s="34" t="s">
        <v>84</v>
      </c>
      <c r="C46" s="314">
        <v>0</v>
      </c>
      <c r="D46" s="314">
        <v>0</v>
      </c>
      <c r="E46" s="314">
        <v>0</v>
      </c>
      <c r="F46" s="314">
        <v>0</v>
      </c>
      <c r="G46" s="314">
        <v>0</v>
      </c>
      <c r="H46" s="314">
        <v>0</v>
      </c>
      <c r="I46" s="315"/>
    </row>
    <row r="47" spans="1:9" s="132" customFormat="1" ht="14.25" customHeight="1" thickBot="1">
      <c r="A47" s="58" t="s">
        <v>167</v>
      </c>
      <c r="B47" s="59" t="s">
        <v>88</v>
      </c>
      <c r="C47" s="299">
        <f aca="true" t="shared" si="4" ref="C47:H47">C41+C43+C46</f>
        <v>5137522.68</v>
      </c>
      <c r="D47" s="299">
        <f t="shared" si="4"/>
        <v>0</v>
      </c>
      <c r="E47" s="299">
        <f t="shared" si="4"/>
        <v>-250441.83</v>
      </c>
      <c r="F47" s="299">
        <f t="shared" si="4"/>
        <v>510427.82</v>
      </c>
      <c r="G47" s="299">
        <f t="shared" si="4"/>
        <v>2858423.67</v>
      </c>
      <c r="H47" s="299">
        <f t="shared" si="4"/>
        <v>150831.74</v>
      </c>
      <c r="I47" s="316"/>
    </row>
    <row r="48" spans="1:9" s="16" customFormat="1" ht="13.5" customHeight="1" thickTop="1">
      <c r="A48" s="81" t="s">
        <v>196</v>
      </c>
      <c r="B48" s="36"/>
      <c r="C48" s="292" t="str">
        <f>IF('CASH RECONC'!C39='CASH REPORT'!C47," ","NOT BALANCED")</f>
        <v> </v>
      </c>
      <c r="D48" s="292" t="str">
        <f>IF('CASH RECONC'!D39='CASH REPORT'!D47," ","NOT BALANCED")</f>
        <v> </v>
      </c>
      <c r="E48" s="292" t="str">
        <f>IF('CASH RECONC'!E39='CASH REPORT'!E47," ","NOT BALANCED ")</f>
        <v> </v>
      </c>
      <c r="F48" s="292" t="str">
        <f>IF('CASH RECONC'!F39='CASH REPORT'!F47," ","NOT BALANCED")</f>
        <v> </v>
      </c>
      <c r="G48" s="292" t="str">
        <f>IF('CASH RECONC'!G39='CASH REPORT'!G47," ","NOT BALANCED")</f>
        <v> </v>
      </c>
      <c r="H48" s="292" t="str">
        <f>IF('CASH RECONC'!H39='CASH REPORT'!H47," ","NOT BALANCED ")</f>
        <v> </v>
      </c>
      <c r="I48" s="293"/>
    </row>
    <row r="49" spans="1:9" s="15" customFormat="1" ht="14.25" customHeight="1">
      <c r="A49" s="133" t="s">
        <v>168</v>
      </c>
      <c r="B49" s="35"/>
      <c r="C49" s="294">
        <v>24447319.51</v>
      </c>
      <c r="D49" s="294">
        <v>0</v>
      </c>
      <c r="E49" s="294">
        <v>467135.37</v>
      </c>
      <c r="F49" s="290">
        <v>216703.61</v>
      </c>
      <c r="G49" s="294">
        <v>1166674.99</v>
      </c>
      <c r="H49" s="294">
        <v>0</v>
      </c>
      <c r="I49" s="295"/>
    </row>
    <row r="50" spans="1:7" s="16" customFormat="1" ht="11.25" customHeight="1">
      <c r="A50" s="60"/>
      <c r="B50" s="24"/>
      <c r="C50" s="24"/>
      <c r="D50" s="24"/>
      <c r="E50" s="24"/>
      <c r="F50" s="24"/>
      <c r="G50" s="24"/>
    </row>
    <row r="51" spans="1:7" s="16" customFormat="1" ht="11.25" customHeight="1">
      <c r="A51" s="79" t="s">
        <v>169</v>
      </c>
      <c r="B51" s="36"/>
      <c r="C51" s="36"/>
      <c r="D51" s="36"/>
      <c r="E51" s="36"/>
      <c r="F51" s="36"/>
      <c r="G51" s="36"/>
    </row>
    <row r="52" spans="1:7" s="16" customFormat="1" ht="8.25" customHeight="1">
      <c r="A52" s="357" t="s">
        <v>170</v>
      </c>
      <c r="B52" s="61"/>
      <c r="C52" s="36"/>
      <c r="D52" s="36"/>
      <c r="E52" s="36"/>
      <c r="F52" s="36"/>
      <c r="G52" s="104"/>
    </row>
    <row r="53" spans="1:7" s="16" customFormat="1" ht="8.25" customHeight="1">
      <c r="A53" s="358"/>
      <c r="B53" s="24"/>
      <c r="C53" s="24"/>
      <c r="D53" s="62"/>
      <c r="E53" s="36"/>
      <c r="F53" s="36"/>
      <c r="G53" s="36"/>
    </row>
    <row r="54" spans="1:7" s="168" customFormat="1" ht="17.25" customHeight="1">
      <c r="A54" s="164" t="s">
        <v>171</v>
      </c>
      <c r="B54" s="165"/>
      <c r="C54" s="78">
        <v>-740024.96</v>
      </c>
      <c r="D54" s="166"/>
      <c r="E54" s="167"/>
      <c r="F54" s="167"/>
      <c r="G54" s="167"/>
    </row>
    <row r="55" spans="1:7" s="117" customFormat="1" ht="17.25" customHeight="1">
      <c r="A55" s="169" t="s">
        <v>172</v>
      </c>
      <c r="B55" s="123"/>
      <c r="C55" s="63">
        <v>11548.63</v>
      </c>
      <c r="D55" s="170"/>
      <c r="E55" s="122"/>
      <c r="F55" s="122"/>
      <c r="G55" s="122"/>
    </row>
    <row r="56" spans="1:7" s="175" customFormat="1" ht="17.25" customHeight="1">
      <c r="A56" s="171" t="s">
        <v>250</v>
      </c>
      <c r="B56" s="172"/>
      <c r="C56" s="77">
        <v>0</v>
      </c>
      <c r="D56" s="173"/>
      <c r="E56" s="174"/>
      <c r="F56" s="174"/>
      <c r="G56" s="174"/>
    </row>
    <row r="57" spans="1:7" s="117" customFormat="1" ht="17.25" customHeight="1">
      <c r="A57" s="176" t="s">
        <v>173</v>
      </c>
      <c r="B57" s="122"/>
      <c r="C57" s="122"/>
      <c r="D57" s="122"/>
      <c r="E57" s="122"/>
      <c r="F57" s="122"/>
      <c r="G57" s="122"/>
    </row>
    <row r="58" spans="1:7" s="136" customFormat="1" ht="5.25" customHeight="1">
      <c r="A58" s="134"/>
      <c r="B58" s="135"/>
      <c r="C58" s="135"/>
      <c r="D58" s="135"/>
      <c r="E58" s="135"/>
      <c r="F58" s="135" t="s">
        <v>25</v>
      </c>
      <c r="G58" s="135" t="s">
        <v>25</v>
      </c>
    </row>
    <row r="59" spans="1:8" s="16" customFormat="1" ht="14.25" customHeight="1">
      <c r="A59" s="137" t="str">
        <f>A1</f>
        <v>SCHOOL DISTRICT/CHARTER:   GADSDEN</v>
      </c>
      <c r="B59" s="36"/>
      <c r="C59" s="36"/>
      <c r="D59" s="36"/>
      <c r="E59" s="36"/>
      <c r="G59" s="36" t="str">
        <f>G1</f>
        <v>COUNTY:</v>
      </c>
      <c r="H59" s="44" t="str">
        <f>H1</f>
        <v>DONA ANA</v>
      </c>
    </row>
    <row r="60" spans="1:8" s="16" customFormat="1" ht="14.25" customHeight="1">
      <c r="A60" s="137" t="str">
        <f>A2</f>
        <v>Month/Quarter:                        MARCH 2005</v>
      </c>
      <c r="B60" s="36"/>
      <c r="C60" s="36"/>
      <c r="D60" s="36"/>
      <c r="E60" s="36"/>
      <c r="G60" s="36" t="str">
        <f>G2</f>
        <v>PED No.:</v>
      </c>
      <c r="H60" s="259" t="str">
        <f>H2</f>
        <v>19</v>
      </c>
    </row>
    <row r="61" spans="1:7" s="16" customFormat="1" ht="14.25" customHeight="1">
      <c r="A61" s="64" t="s">
        <v>25</v>
      </c>
      <c r="B61" s="24"/>
      <c r="C61" s="24"/>
      <c r="D61" s="24"/>
      <c r="E61" s="24"/>
      <c r="F61" s="24"/>
      <c r="G61" s="24"/>
    </row>
    <row r="62" spans="1:9" s="16" customFormat="1" ht="14.25" customHeight="1">
      <c r="A62" s="138"/>
      <c r="B62" s="102"/>
      <c r="C62" s="49" t="s">
        <v>111</v>
      </c>
      <c r="D62" s="49" t="s">
        <v>174</v>
      </c>
      <c r="E62" s="49" t="s">
        <v>113</v>
      </c>
      <c r="F62" s="49" t="s">
        <v>175</v>
      </c>
      <c r="G62" s="49" t="s">
        <v>115</v>
      </c>
      <c r="H62" s="65" t="s">
        <v>126</v>
      </c>
      <c r="I62" s="66" t="s">
        <v>25</v>
      </c>
    </row>
    <row r="63" spans="1:9" s="16" customFormat="1" ht="14.25" customHeight="1">
      <c r="A63" s="127"/>
      <c r="B63" s="36"/>
      <c r="C63" s="18" t="s">
        <v>6</v>
      </c>
      <c r="D63" s="18" t="s">
        <v>6</v>
      </c>
      <c r="E63" s="18" t="s">
        <v>6</v>
      </c>
      <c r="F63" s="18" t="s">
        <v>117</v>
      </c>
      <c r="G63" s="19" t="s">
        <v>118</v>
      </c>
      <c r="H63" s="67" t="s">
        <v>119</v>
      </c>
      <c r="I63" s="68" t="s">
        <v>25</v>
      </c>
    </row>
    <row r="64" spans="1:9" s="98" customFormat="1" ht="14.25" customHeight="1">
      <c r="A64" s="128"/>
      <c r="B64" s="96"/>
      <c r="C64" s="85">
        <v>23000</v>
      </c>
      <c r="D64" s="21" t="s">
        <v>121</v>
      </c>
      <c r="E64" s="21" t="s">
        <v>122</v>
      </c>
      <c r="F64" s="86" t="s">
        <v>123</v>
      </c>
      <c r="G64" s="86" t="s">
        <v>124</v>
      </c>
      <c r="H64" s="87" t="s">
        <v>125</v>
      </c>
      <c r="I64" s="88" t="s">
        <v>25</v>
      </c>
    </row>
    <row r="65" spans="1:9" s="16" customFormat="1" ht="14.25" customHeight="1">
      <c r="A65" s="53"/>
      <c r="B65" s="24"/>
      <c r="C65" s="24"/>
      <c r="D65" s="24"/>
      <c r="E65" s="24"/>
      <c r="F65" s="25"/>
      <c r="G65" s="54"/>
      <c r="H65" s="69"/>
      <c r="I65" s="70"/>
    </row>
    <row r="66" spans="1:9" s="16" customFormat="1" ht="14.25" customHeight="1">
      <c r="A66" s="169" t="str">
        <f>A8</f>
        <v>AUDITED NET CASH 06/30/04    (Taken from the district/charter</v>
      </c>
      <c r="B66" s="129"/>
      <c r="C66" s="28" t="s">
        <v>25</v>
      </c>
      <c r="D66" s="28"/>
      <c r="E66" s="28"/>
      <c r="F66" s="56"/>
      <c r="G66" s="28"/>
      <c r="H66" s="29"/>
      <c r="I66" s="38"/>
    </row>
    <row r="67" spans="1:9" s="16" customFormat="1" ht="14.25" customHeight="1">
      <c r="A67" s="83" t="str">
        <f>A9</f>
        <v> Prior Fiscal Year Audit)</v>
      </c>
      <c r="B67" s="18" t="s">
        <v>81</v>
      </c>
      <c r="C67" s="275">
        <f>693046.81-220000</f>
        <v>473046.81</v>
      </c>
      <c r="D67" s="275">
        <v>283477.15</v>
      </c>
      <c r="E67" s="275">
        <v>38298.42</v>
      </c>
      <c r="F67" s="263">
        <f>10751430.77-7000000</f>
        <v>3751430.77</v>
      </c>
      <c r="G67" s="275">
        <v>-2368761.76</v>
      </c>
      <c r="H67" s="276">
        <f>1277433.35-1280000</f>
        <v>-2566.65</v>
      </c>
      <c r="I67" s="277"/>
    </row>
    <row r="68" spans="1:9" s="16" customFormat="1" ht="14.25" customHeight="1">
      <c r="A68" s="76"/>
      <c r="B68" s="36"/>
      <c r="C68" s="264"/>
      <c r="D68" s="264"/>
      <c r="E68" s="264"/>
      <c r="F68" s="269"/>
      <c r="G68" s="264"/>
      <c r="H68" s="265"/>
      <c r="I68" s="266"/>
    </row>
    <row r="69" spans="1:9" s="16" customFormat="1" ht="14.25" customHeight="1">
      <c r="A69" s="55" t="s">
        <v>193</v>
      </c>
      <c r="B69" s="18" t="s">
        <v>84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12">
        <v>0</v>
      </c>
      <c r="I69" s="313"/>
    </row>
    <row r="70" spans="1:9" s="16" customFormat="1" ht="14.25" customHeight="1">
      <c r="A70" s="55" t="s">
        <v>189</v>
      </c>
      <c r="B70" s="18" t="s">
        <v>25</v>
      </c>
      <c r="C70" s="264"/>
      <c r="D70" s="264"/>
      <c r="E70" s="264"/>
      <c r="F70" s="269"/>
      <c r="G70" s="264"/>
      <c r="H70" s="265"/>
      <c r="I70" s="266"/>
    </row>
    <row r="71" spans="1:10" s="16" customFormat="1" ht="14.25" customHeight="1">
      <c r="A71" s="75" t="s">
        <v>190</v>
      </c>
      <c r="B71" s="18" t="s">
        <v>157</v>
      </c>
      <c r="C71" s="263">
        <v>0</v>
      </c>
      <c r="D71" s="263">
        <v>0</v>
      </c>
      <c r="E71" s="263">
        <v>0</v>
      </c>
      <c r="F71" s="263">
        <v>0</v>
      </c>
      <c r="G71" s="263">
        <v>0</v>
      </c>
      <c r="H71" s="267">
        <v>0</v>
      </c>
      <c r="I71" s="268"/>
      <c r="J71" s="107"/>
    </row>
    <row r="72" spans="1:9" s="16" customFormat="1" ht="14.25" customHeight="1">
      <c r="A72" s="75"/>
      <c r="B72" s="18"/>
      <c r="C72" s="264"/>
      <c r="D72" s="264"/>
      <c r="E72" s="264"/>
      <c r="F72" s="269"/>
      <c r="G72" s="264"/>
      <c r="H72" s="265"/>
      <c r="I72" s="266"/>
    </row>
    <row r="73" spans="1:9" s="16" customFormat="1" ht="14.25" customHeight="1">
      <c r="A73" s="169" t="s">
        <v>247</v>
      </c>
      <c r="B73" s="18" t="s">
        <v>81</v>
      </c>
      <c r="C73" s="263">
        <v>220000</v>
      </c>
      <c r="D73" s="263">
        <v>0</v>
      </c>
      <c r="E73" s="263">
        <v>0</v>
      </c>
      <c r="F73" s="263">
        <v>7000000</v>
      </c>
      <c r="G73" s="263">
        <v>0</v>
      </c>
      <c r="H73" s="263">
        <v>1280000</v>
      </c>
      <c r="I73" s="268"/>
    </row>
    <row r="74" spans="1:9" s="16" customFormat="1" ht="14.25" customHeight="1">
      <c r="A74" s="127"/>
      <c r="B74" s="36"/>
      <c r="C74" s="278"/>
      <c r="D74" s="278"/>
      <c r="E74" s="278"/>
      <c r="F74" s="279"/>
      <c r="G74" s="278"/>
      <c r="H74" s="280"/>
      <c r="I74" s="281"/>
    </row>
    <row r="75" spans="1:13" s="16" customFormat="1" ht="14.25" customHeight="1">
      <c r="A75" s="256" t="s">
        <v>248</v>
      </c>
      <c r="B75" s="34" t="s">
        <v>88</v>
      </c>
      <c r="C75" s="272">
        <f aca="true" t="shared" si="5" ref="C75:H75">C67+C69+C71+C73</f>
        <v>693046.81</v>
      </c>
      <c r="D75" s="272">
        <f t="shared" si="5"/>
        <v>283477.15</v>
      </c>
      <c r="E75" s="272">
        <f t="shared" si="5"/>
        <v>38298.42</v>
      </c>
      <c r="F75" s="272">
        <f t="shared" si="5"/>
        <v>10751430.77</v>
      </c>
      <c r="G75" s="272">
        <f t="shared" si="5"/>
        <v>-2368761.76</v>
      </c>
      <c r="H75" s="272">
        <f t="shared" si="5"/>
        <v>1277433.35</v>
      </c>
      <c r="I75" s="273" t="s">
        <v>25</v>
      </c>
      <c r="J75" s="178"/>
      <c r="K75" s="178"/>
      <c r="L75" s="178"/>
      <c r="M75" s="178"/>
    </row>
    <row r="76" spans="1:9" s="16" customFormat="1" ht="14.25" customHeight="1">
      <c r="A76" s="127"/>
      <c r="B76" s="104"/>
      <c r="C76" s="282"/>
      <c r="D76" s="282"/>
      <c r="E76" s="282"/>
      <c r="F76" s="283"/>
      <c r="G76" s="282"/>
      <c r="H76" s="284"/>
      <c r="I76" s="285"/>
    </row>
    <row r="77" spans="1:9" s="16" customFormat="1" ht="14.25" customHeight="1">
      <c r="A77" s="55" t="s">
        <v>192</v>
      </c>
      <c r="B77" s="36"/>
      <c r="C77" s="278"/>
      <c r="D77" s="278"/>
      <c r="E77" s="278"/>
      <c r="F77" s="279"/>
      <c r="G77" s="278"/>
      <c r="H77" s="280"/>
      <c r="I77" s="281"/>
    </row>
    <row r="78" spans="1:9" s="16" customFormat="1" ht="14.25" customHeight="1">
      <c r="A78" s="75" t="s">
        <v>191</v>
      </c>
      <c r="B78" s="18" t="s">
        <v>81</v>
      </c>
      <c r="C78" s="275">
        <v>670677.67</v>
      </c>
      <c r="D78" s="275">
        <v>8674012.86</v>
      </c>
      <c r="E78" s="275">
        <v>1206481.01</v>
      </c>
      <c r="F78" s="263">
        <v>8077742.83</v>
      </c>
      <c r="G78" s="275">
        <v>2936605.44</v>
      </c>
      <c r="H78" s="276">
        <v>1050000</v>
      </c>
      <c r="I78" s="277"/>
    </row>
    <row r="79" spans="1:9" s="16" customFormat="1" ht="14.25" customHeight="1">
      <c r="A79" s="127"/>
      <c r="B79" s="36"/>
      <c r="C79" s="264"/>
      <c r="D79" s="264"/>
      <c r="E79" s="264"/>
      <c r="F79" s="269"/>
      <c r="G79" s="264"/>
      <c r="H79" s="265"/>
      <c r="I79" s="266"/>
    </row>
    <row r="80" spans="1:9" s="16" customFormat="1" ht="14.25" customHeight="1">
      <c r="A80" s="55" t="s">
        <v>158</v>
      </c>
      <c r="B80" s="18" t="s">
        <v>81</v>
      </c>
      <c r="C80" s="275">
        <v>0</v>
      </c>
      <c r="D80" s="275">
        <v>0</v>
      </c>
      <c r="E80" s="275">
        <v>0</v>
      </c>
      <c r="F80" s="263">
        <v>0</v>
      </c>
      <c r="G80" s="275">
        <v>0</v>
      </c>
      <c r="H80" s="276">
        <v>0</v>
      </c>
      <c r="I80" s="277"/>
    </row>
    <row r="81" spans="1:9" s="16" customFormat="1" ht="14.25" customHeight="1">
      <c r="A81" s="127"/>
      <c r="B81" s="36"/>
      <c r="C81" s="278" t="s">
        <v>25</v>
      </c>
      <c r="D81" s="278"/>
      <c r="E81" s="278"/>
      <c r="F81" s="279"/>
      <c r="G81" s="278"/>
      <c r="H81" s="280"/>
      <c r="I81" s="281"/>
    </row>
    <row r="82" spans="1:13" s="16" customFormat="1" ht="14.25" customHeight="1">
      <c r="A82" s="57" t="s">
        <v>159</v>
      </c>
      <c r="B82" s="34" t="s">
        <v>88</v>
      </c>
      <c r="C82" s="272">
        <f aca="true" t="shared" si="6" ref="C82:H82">C75+C78+C80</f>
        <v>1363724.48</v>
      </c>
      <c r="D82" s="272">
        <f t="shared" si="6"/>
        <v>8957490.01</v>
      </c>
      <c r="E82" s="272">
        <f t="shared" si="6"/>
        <v>1244779.43</v>
      </c>
      <c r="F82" s="272">
        <f t="shared" si="6"/>
        <v>18829173.6</v>
      </c>
      <c r="G82" s="272">
        <f t="shared" si="6"/>
        <v>567843.68</v>
      </c>
      <c r="H82" s="272">
        <f t="shared" si="6"/>
        <v>2327433.35</v>
      </c>
      <c r="I82" s="273"/>
      <c r="J82" s="178"/>
      <c r="K82" s="178"/>
      <c r="L82" s="178"/>
      <c r="M82" s="178"/>
    </row>
    <row r="83" spans="1:9" s="16" customFormat="1" ht="14.25" customHeight="1">
      <c r="A83" s="127"/>
      <c r="B83" s="36"/>
      <c r="C83" s="282"/>
      <c r="D83" s="282"/>
      <c r="E83" s="282"/>
      <c r="F83" s="283"/>
      <c r="G83" s="282"/>
      <c r="H83" s="284"/>
      <c r="I83" s="285"/>
    </row>
    <row r="84" spans="1:9" s="16" customFormat="1" ht="14.25" customHeight="1">
      <c r="A84" s="55" t="s">
        <v>160</v>
      </c>
      <c r="B84" s="36"/>
      <c r="C84" s="278"/>
      <c r="D84" s="278"/>
      <c r="E84" s="278"/>
      <c r="F84" s="279"/>
      <c r="G84" s="278"/>
      <c r="H84" s="280"/>
      <c r="I84" s="281"/>
    </row>
    <row r="85" spans="1:9" s="16" customFormat="1" ht="14.25" customHeight="1">
      <c r="A85" s="75" t="s">
        <v>187</v>
      </c>
      <c r="B85" s="18" t="s">
        <v>84</v>
      </c>
      <c r="C85" s="302">
        <v>-625473.16</v>
      </c>
      <c r="D85" s="302">
        <v>-8546368.27</v>
      </c>
      <c r="E85" s="302">
        <v>-844848.07</v>
      </c>
      <c r="F85" s="302">
        <v>-3025002.71</v>
      </c>
      <c r="G85" s="302">
        <v>-6939531.94</v>
      </c>
      <c r="H85" s="312">
        <v>-1011502.45</v>
      </c>
      <c r="I85" s="313"/>
    </row>
    <row r="86" spans="1:9" s="16" customFormat="1" ht="14.25" customHeight="1">
      <c r="A86" s="127"/>
      <c r="B86" s="36"/>
      <c r="C86" s="264"/>
      <c r="D86" s="264"/>
      <c r="E86" s="264"/>
      <c r="F86" s="269"/>
      <c r="G86" s="264"/>
      <c r="H86" s="265"/>
      <c r="I86" s="266"/>
    </row>
    <row r="87" spans="1:9" s="16" customFormat="1" ht="14.25" customHeight="1">
      <c r="A87" s="55" t="s">
        <v>206</v>
      </c>
      <c r="B87" s="18" t="s">
        <v>84</v>
      </c>
      <c r="C87" s="302">
        <v>-269041.31</v>
      </c>
      <c r="D87" s="302">
        <v>0</v>
      </c>
      <c r="E87" s="302">
        <v>0</v>
      </c>
      <c r="F87" s="302">
        <v>0</v>
      </c>
      <c r="G87" s="302">
        <v>0</v>
      </c>
      <c r="H87" s="312">
        <v>0</v>
      </c>
      <c r="I87" s="313"/>
    </row>
    <row r="88" spans="1:9" s="16" customFormat="1" ht="14.25" customHeight="1">
      <c r="A88" s="127"/>
      <c r="B88" s="36"/>
      <c r="C88" s="282"/>
      <c r="D88" s="282"/>
      <c r="E88" s="282"/>
      <c r="F88" s="283"/>
      <c r="G88" s="282"/>
      <c r="H88" s="284"/>
      <c r="I88" s="285"/>
    </row>
    <row r="89" spans="1:9" s="16" customFormat="1" ht="14.25" customHeight="1">
      <c r="A89" s="55" t="s">
        <v>194</v>
      </c>
      <c r="B89" s="18" t="s">
        <v>157</v>
      </c>
      <c r="C89" s="263">
        <v>0</v>
      </c>
      <c r="D89" s="263">
        <v>0</v>
      </c>
      <c r="E89" s="263">
        <v>0</v>
      </c>
      <c r="F89" s="263">
        <v>0</v>
      </c>
      <c r="G89" s="263">
        <v>0</v>
      </c>
      <c r="H89" s="267">
        <v>0</v>
      </c>
      <c r="I89" s="268"/>
    </row>
    <row r="90" spans="1:9" s="16" customFormat="1" ht="14.25" customHeight="1">
      <c r="A90" s="127"/>
      <c r="B90" s="36"/>
      <c r="C90" s="282"/>
      <c r="D90" s="282"/>
      <c r="E90" s="282"/>
      <c r="F90" s="283"/>
      <c r="G90" s="282"/>
      <c r="H90" s="284"/>
      <c r="I90" s="285"/>
    </row>
    <row r="91" spans="1:10" s="16" customFormat="1" ht="14.25" customHeight="1">
      <c r="A91" s="55" t="s">
        <v>162</v>
      </c>
      <c r="B91" s="18" t="s">
        <v>84</v>
      </c>
      <c r="C91" s="264">
        <f>-INVESTMENTS!F15</f>
        <v>-237052.61</v>
      </c>
      <c r="D91" s="264">
        <f>-INVESTMENTS!F16</f>
        <v>0</v>
      </c>
      <c r="E91" s="264">
        <f>-INVESTMENTS!F17</f>
        <v>0</v>
      </c>
      <c r="F91" s="269">
        <f>-INVESTMENTS!F18</f>
        <v>-7077742.83</v>
      </c>
      <c r="G91" s="269">
        <f>-INVESTMENTS!F19</f>
        <v>0</v>
      </c>
      <c r="H91" s="269">
        <f>-INVESTMENTS!F20</f>
        <v>-1280000</v>
      </c>
      <c r="I91" s="266"/>
      <c r="J91" s="99" t="s">
        <v>25</v>
      </c>
    </row>
    <row r="92" spans="1:9" s="16" customFormat="1" ht="14.25" customHeight="1">
      <c r="A92" s="127"/>
      <c r="B92" s="36"/>
      <c r="C92" s="282"/>
      <c r="D92" s="282"/>
      <c r="E92" s="282"/>
      <c r="F92" s="283"/>
      <c r="G92" s="282"/>
      <c r="H92" s="284"/>
      <c r="I92" s="285"/>
    </row>
    <row r="93" spans="1:9" s="16" customFormat="1" ht="14.25" customHeight="1">
      <c r="A93" s="55" t="s">
        <v>163</v>
      </c>
      <c r="B93" s="18" t="s">
        <v>157</v>
      </c>
      <c r="C93" s="263">
        <v>-2873.33</v>
      </c>
      <c r="D93" s="263">
        <f>-97233.33-779.86</f>
        <v>-98013.19</v>
      </c>
      <c r="E93" s="263">
        <f>-7691.82-29.32</f>
        <v>-7721.14</v>
      </c>
      <c r="F93" s="263">
        <v>0</v>
      </c>
      <c r="G93" s="263">
        <v>0</v>
      </c>
      <c r="H93" s="267">
        <v>0</v>
      </c>
      <c r="I93" s="266"/>
    </row>
    <row r="94" spans="1:9" s="16" customFormat="1" ht="14.25" customHeight="1">
      <c r="A94" s="127"/>
      <c r="B94" s="36"/>
      <c r="C94" s="282"/>
      <c r="D94" s="282"/>
      <c r="E94" s="282"/>
      <c r="F94" s="283"/>
      <c r="G94" s="282"/>
      <c r="H94" s="284"/>
      <c r="I94" s="285"/>
    </row>
    <row r="95" spans="1:9" s="16" customFormat="1" ht="14.25" customHeight="1">
      <c r="A95" s="57" t="s">
        <v>164</v>
      </c>
      <c r="B95" s="34" t="s">
        <v>88</v>
      </c>
      <c r="C95" s="272">
        <f aca="true" t="shared" si="7" ref="C95:H95">(C82+C85+C87+C89+C91+C93)</f>
        <v>229284.07</v>
      </c>
      <c r="D95" s="272">
        <f t="shared" si="7"/>
        <v>313108.55</v>
      </c>
      <c r="E95" s="272">
        <f t="shared" si="7"/>
        <v>392210.22</v>
      </c>
      <c r="F95" s="272">
        <f t="shared" si="7"/>
        <v>8726428.06</v>
      </c>
      <c r="G95" s="272">
        <f t="shared" si="7"/>
        <v>-6371688.26</v>
      </c>
      <c r="H95" s="272">
        <f t="shared" si="7"/>
        <v>35930.9</v>
      </c>
      <c r="I95" s="273"/>
    </row>
    <row r="96" spans="1:9" s="16" customFormat="1" ht="14.25" customHeight="1">
      <c r="A96" s="127"/>
      <c r="B96" s="36"/>
      <c r="C96" s="282"/>
      <c r="D96" s="282"/>
      <c r="E96" s="282"/>
      <c r="F96" s="283"/>
      <c r="G96" s="282"/>
      <c r="H96" s="284"/>
      <c r="I96" s="285"/>
    </row>
    <row r="97" spans="1:9" s="16" customFormat="1" ht="14.25" customHeight="1">
      <c r="A97" s="55" t="s">
        <v>100</v>
      </c>
      <c r="B97" s="18" t="s">
        <v>81</v>
      </c>
      <c r="C97" s="264">
        <f>INVESTMENTS!F15</f>
        <v>237052.61</v>
      </c>
      <c r="D97" s="264">
        <f>INVESTMENTS!F16</f>
        <v>0</v>
      </c>
      <c r="E97" s="264">
        <f>INVESTMENTS!F17</f>
        <v>0</v>
      </c>
      <c r="F97" s="269">
        <f>INVESTMENTS!F18</f>
        <v>7077742.83</v>
      </c>
      <c r="G97" s="269">
        <f>INVESTMENTS!F19</f>
        <v>0</v>
      </c>
      <c r="H97" s="269">
        <f>INVESTMENTS!F20</f>
        <v>1280000</v>
      </c>
      <c r="I97" s="266"/>
    </row>
    <row r="98" spans="1:9" s="16" customFormat="1" ht="14.25" customHeight="1">
      <c r="A98" s="127"/>
      <c r="B98" s="36"/>
      <c r="C98" s="282"/>
      <c r="D98" s="282"/>
      <c r="E98" s="282"/>
      <c r="F98" s="283"/>
      <c r="G98" s="282"/>
      <c r="H98" s="284"/>
      <c r="I98" s="285"/>
    </row>
    <row r="99" spans="1:9" s="16" customFormat="1" ht="14.25" customHeight="1">
      <c r="A99" s="57" t="s">
        <v>165</v>
      </c>
      <c r="B99" s="34" t="s">
        <v>88</v>
      </c>
      <c r="C99" s="272">
        <f aca="true" t="shared" si="8" ref="C99:H99">C95+C97</f>
        <v>466336.68</v>
      </c>
      <c r="D99" s="272">
        <f t="shared" si="8"/>
        <v>313108.55</v>
      </c>
      <c r="E99" s="272">
        <f t="shared" si="8"/>
        <v>392210.22</v>
      </c>
      <c r="F99" s="272">
        <f t="shared" si="8"/>
        <v>15804170.89</v>
      </c>
      <c r="G99" s="272">
        <f t="shared" si="8"/>
        <v>-6371688.26</v>
      </c>
      <c r="H99" s="272">
        <f t="shared" si="8"/>
        <v>1315930.9</v>
      </c>
      <c r="I99" s="273"/>
    </row>
    <row r="100" spans="1:9" s="16" customFormat="1" ht="14.25" customHeight="1">
      <c r="A100" s="127"/>
      <c r="B100" s="36"/>
      <c r="C100" s="283"/>
      <c r="D100" s="283"/>
      <c r="E100" s="283"/>
      <c r="F100" s="283"/>
      <c r="G100" s="283"/>
      <c r="H100" s="286"/>
      <c r="I100" s="287"/>
    </row>
    <row r="101" spans="1:9" s="16" customFormat="1" ht="14.25" customHeight="1">
      <c r="A101" s="55" t="s">
        <v>189</v>
      </c>
      <c r="B101" s="18" t="s">
        <v>166</v>
      </c>
      <c r="C101" s="263">
        <v>0</v>
      </c>
      <c r="D101" s="263">
        <v>0</v>
      </c>
      <c r="E101" s="263">
        <v>0</v>
      </c>
      <c r="F101" s="263">
        <v>0</v>
      </c>
      <c r="G101" s="263">
        <v>0</v>
      </c>
      <c r="H101" s="267">
        <v>0</v>
      </c>
      <c r="I101" s="268"/>
    </row>
    <row r="102" spans="1:9" s="16" customFormat="1" ht="14.25" customHeight="1">
      <c r="A102" s="75" t="s">
        <v>190</v>
      </c>
      <c r="B102" s="36"/>
      <c r="C102" s="279"/>
      <c r="D102" s="279"/>
      <c r="E102" s="279"/>
      <c r="F102" s="279"/>
      <c r="G102" s="279" t="s">
        <v>25</v>
      </c>
      <c r="H102" s="288"/>
      <c r="I102" s="289"/>
    </row>
    <row r="103" spans="1:9" s="16" customFormat="1" ht="14.25" customHeight="1">
      <c r="A103" s="127"/>
      <c r="B103" s="36"/>
      <c r="C103" s="283"/>
      <c r="D103" s="283"/>
      <c r="E103" s="283"/>
      <c r="F103" s="283"/>
      <c r="G103" s="283"/>
      <c r="H103" s="286"/>
      <c r="I103" s="287"/>
    </row>
    <row r="104" spans="1:9" s="15" customFormat="1" ht="14.25" customHeight="1">
      <c r="A104" s="57" t="s">
        <v>188</v>
      </c>
      <c r="B104" s="34" t="s">
        <v>84</v>
      </c>
      <c r="C104" s="290">
        <v>0</v>
      </c>
      <c r="D104" s="290">
        <v>0</v>
      </c>
      <c r="E104" s="290">
        <v>0</v>
      </c>
      <c r="F104" s="290">
        <v>0</v>
      </c>
      <c r="G104" s="290">
        <v>0</v>
      </c>
      <c r="H104" s="290">
        <v>0</v>
      </c>
      <c r="I104" s="291"/>
    </row>
    <row r="105" spans="1:9" s="132" customFormat="1" ht="14.25" customHeight="1" thickBot="1">
      <c r="A105" s="58" t="s">
        <v>167</v>
      </c>
      <c r="B105" s="59" t="s">
        <v>88</v>
      </c>
      <c r="C105" s="299">
        <f aca="true" t="shared" si="9" ref="C105:H105">C99+C101+C104</f>
        <v>466336.68</v>
      </c>
      <c r="D105" s="299">
        <f t="shared" si="9"/>
        <v>313108.55</v>
      </c>
      <c r="E105" s="299">
        <f t="shared" si="9"/>
        <v>392210.22</v>
      </c>
      <c r="F105" s="299">
        <f t="shared" si="9"/>
        <v>15804170.89</v>
      </c>
      <c r="G105" s="299">
        <f t="shared" si="9"/>
        <v>-6371688.26</v>
      </c>
      <c r="H105" s="299">
        <f t="shared" si="9"/>
        <v>1315930.9</v>
      </c>
      <c r="I105" s="316"/>
    </row>
    <row r="106" spans="1:9" s="16" customFormat="1" ht="14.25" customHeight="1" thickTop="1">
      <c r="A106" s="81" t="s">
        <v>196</v>
      </c>
      <c r="B106" s="36"/>
      <c r="C106" s="292" t="str">
        <f>IF('CASH RECONC'!C90='CASH REPORT'!C105," ","NOT BALANCED")</f>
        <v> </v>
      </c>
      <c r="D106" s="292" t="str">
        <f>IF('CASH RECONC'!D90='CASH REPORT'!D105," ","NOT BALANCED")</f>
        <v> </v>
      </c>
      <c r="E106" s="292" t="str">
        <f>IF('CASH RECONC'!E90='CASH REPORT'!E105," ","NOT BALANCED")</f>
        <v> </v>
      </c>
      <c r="F106" s="292" t="str">
        <f>IF('CASH RECONC'!F90='CASH REPORT'!F105," ","NOT BALANCED")</f>
        <v> </v>
      </c>
      <c r="G106" s="292" t="str">
        <f>IF('CASH RECONC'!G90='CASH REPORT'!G105," ","NOT BALANCED")</f>
        <v> </v>
      </c>
      <c r="H106" s="292" t="str">
        <f>IF('CASH RECONC'!H90='CASH REPORT'!H105," ","NOT BALANCED")</f>
        <v> </v>
      </c>
      <c r="I106" s="293"/>
    </row>
    <row r="107" spans="1:9" s="16" customFormat="1" ht="14.25" customHeight="1">
      <c r="A107" s="133" t="s">
        <v>168</v>
      </c>
      <c r="B107" s="35"/>
      <c r="C107" s="294">
        <v>163301.41</v>
      </c>
      <c r="D107" s="294">
        <v>0</v>
      </c>
      <c r="E107" s="294">
        <v>0</v>
      </c>
      <c r="F107" s="290">
        <v>4090249.09</v>
      </c>
      <c r="G107" s="294">
        <v>4252340.41</v>
      </c>
      <c r="H107" s="294">
        <v>218497.55</v>
      </c>
      <c r="I107" s="295"/>
    </row>
    <row r="108" spans="1:7" s="16" customFormat="1" ht="14.25" customHeight="1">
      <c r="A108" s="60"/>
      <c r="B108" s="24"/>
      <c r="C108" s="24"/>
      <c r="D108" s="24"/>
      <c r="E108" s="24"/>
      <c r="F108" s="24"/>
      <c r="G108" s="24"/>
    </row>
    <row r="109" spans="1:7" s="16" customFormat="1" ht="14.25" customHeight="1">
      <c r="A109" s="79" t="s">
        <v>169</v>
      </c>
      <c r="B109" s="36"/>
      <c r="C109" s="36"/>
      <c r="D109" s="36"/>
      <c r="E109" s="36"/>
      <c r="F109" s="36"/>
      <c r="G109" s="36"/>
    </row>
    <row r="110" s="144" customFormat="1" ht="14.25" customHeight="1">
      <c r="A110" s="143"/>
    </row>
    <row r="111" spans="1:8" s="146" customFormat="1" ht="14.25" customHeight="1">
      <c r="A111" s="145" t="str">
        <f>A1</f>
        <v>SCHOOL DISTRICT/CHARTER:   GADSDEN</v>
      </c>
      <c r="G111" s="146" t="s">
        <v>1</v>
      </c>
      <c r="H111" s="147" t="str">
        <f>H1</f>
        <v>DONA ANA</v>
      </c>
    </row>
    <row r="112" spans="1:8" s="16" customFormat="1" ht="14.25" customHeight="1">
      <c r="A112" s="148"/>
      <c r="G112" s="16" t="str">
        <f>G2</f>
        <v>PED No.:</v>
      </c>
      <c r="H112" s="258" t="str">
        <f>H2</f>
        <v>19</v>
      </c>
    </row>
    <row r="113" s="16" customFormat="1" ht="14.25" customHeight="1">
      <c r="A113" s="148" t="str">
        <f>A2</f>
        <v>Month/Quarter:                        MARCH 2005</v>
      </c>
    </row>
    <row r="114" spans="1:9" s="16" customFormat="1" ht="14.25" customHeight="1">
      <c r="A114" s="149"/>
      <c r="B114" s="150"/>
      <c r="C114" s="65" t="s">
        <v>179</v>
      </c>
      <c r="D114" s="65" t="s">
        <v>181</v>
      </c>
      <c r="E114" s="65" t="s">
        <v>127</v>
      </c>
      <c r="F114" s="65" t="s">
        <v>182</v>
      </c>
      <c r="G114" s="65" t="s">
        <v>128</v>
      </c>
      <c r="H114" s="65" t="s">
        <v>183</v>
      </c>
      <c r="I114" s="66" t="s">
        <v>25</v>
      </c>
    </row>
    <row r="115" spans="1:9" s="16" customFormat="1" ht="14.25" customHeight="1">
      <c r="A115" s="151"/>
      <c r="C115" s="67" t="s">
        <v>130</v>
      </c>
      <c r="D115" s="67" t="s">
        <v>176</v>
      </c>
      <c r="E115" s="72" t="s">
        <v>132</v>
      </c>
      <c r="F115" s="67" t="s">
        <v>177</v>
      </c>
      <c r="G115" s="72" t="s">
        <v>134</v>
      </c>
      <c r="H115" s="72" t="s">
        <v>184</v>
      </c>
      <c r="I115" s="68" t="s">
        <v>25</v>
      </c>
    </row>
    <row r="116" spans="1:9" s="98" customFormat="1" ht="14.25" customHeight="1">
      <c r="A116" s="152"/>
      <c r="B116" s="153"/>
      <c r="C116" s="84">
        <v>31400</v>
      </c>
      <c r="D116" s="84">
        <v>31500</v>
      </c>
      <c r="E116" s="84">
        <v>31600</v>
      </c>
      <c r="F116" s="84">
        <v>31700</v>
      </c>
      <c r="G116" s="84">
        <v>31800</v>
      </c>
      <c r="H116" s="84">
        <v>31900</v>
      </c>
      <c r="I116" s="154" t="s">
        <v>25</v>
      </c>
    </row>
    <row r="117" spans="1:9" s="16" customFormat="1" ht="14.25" customHeight="1">
      <c r="A117" s="73"/>
      <c r="B117" s="11"/>
      <c r="C117" s="54"/>
      <c r="D117" s="69"/>
      <c r="E117" s="54"/>
      <c r="F117" s="69"/>
      <c r="G117" s="69"/>
      <c r="H117" s="54"/>
      <c r="I117" s="70"/>
    </row>
    <row r="118" spans="1:9" s="16" customFormat="1" ht="14.25" customHeight="1">
      <c r="A118" s="169" t="str">
        <f>A8</f>
        <v>AUDITED NET CASH 06/30/04    (Taken from the district/charter</v>
      </c>
      <c r="B118" s="129"/>
      <c r="C118" s="28" t="s">
        <v>25</v>
      </c>
      <c r="D118" s="28"/>
      <c r="E118" s="28"/>
      <c r="F118" s="56"/>
      <c r="G118" s="28"/>
      <c r="H118" s="29"/>
      <c r="I118" s="38"/>
    </row>
    <row r="119" spans="1:9" s="16" customFormat="1" ht="14.25" customHeight="1">
      <c r="A119" s="83" t="str">
        <f>A9</f>
        <v> Prior Fiscal Year Audit)</v>
      </c>
      <c r="B119" s="18" t="s">
        <v>81</v>
      </c>
      <c r="C119" s="275">
        <v>-272590.85</v>
      </c>
      <c r="D119" s="275">
        <v>0</v>
      </c>
      <c r="E119" s="275">
        <v>0</v>
      </c>
      <c r="F119" s="263">
        <v>-167761.87</v>
      </c>
      <c r="G119" s="275">
        <v>22586.33</v>
      </c>
      <c r="H119" s="276">
        <v>0</v>
      </c>
      <c r="I119" s="277"/>
    </row>
    <row r="120" spans="1:9" s="16" customFormat="1" ht="14.25" customHeight="1">
      <c r="A120" s="76"/>
      <c r="B120" s="36"/>
      <c r="C120" s="264"/>
      <c r="D120" s="264"/>
      <c r="E120" s="264"/>
      <c r="F120" s="269"/>
      <c r="G120" s="264"/>
      <c r="H120" s="265"/>
      <c r="I120" s="266"/>
    </row>
    <row r="121" spans="1:9" s="16" customFormat="1" ht="14.25" customHeight="1">
      <c r="A121" s="55" t="s">
        <v>193</v>
      </c>
      <c r="B121" s="18" t="s">
        <v>84</v>
      </c>
      <c r="C121" s="302">
        <v>0</v>
      </c>
      <c r="D121" s="302">
        <v>0</v>
      </c>
      <c r="E121" s="302">
        <v>0</v>
      </c>
      <c r="F121" s="302">
        <v>0</v>
      </c>
      <c r="G121" s="302">
        <v>0</v>
      </c>
      <c r="H121" s="312">
        <v>0</v>
      </c>
      <c r="I121" s="313"/>
    </row>
    <row r="122" spans="1:9" s="16" customFormat="1" ht="14.25" customHeight="1">
      <c r="A122" s="55" t="s">
        <v>189</v>
      </c>
      <c r="B122" s="18" t="s">
        <v>25</v>
      </c>
      <c r="C122" s="264"/>
      <c r="D122" s="264"/>
      <c r="E122" s="264"/>
      <c r="F122" s="269"/>
      <c r="G122" s="264"/>
      <c r="H122" s="265"/>
      <c r="I122" s="266"/>
    </row>
    <row r="123" spans="1:9" s="16" customFormat="1" ht="14.25" customHeight="1">
      <c r="A123" s="75" t="s">
        <v>190</v>
      </c>
      <c r="B123" s="18" t="s">
        <v>166</v>
      </c>
      <c r="C123" s="263"/>
      <c r="D123" s="263"/>
      <c r="E123" s="263"/>
      <c r="F123" s="263"/>
      <c r="G123" s="267"/>
      <c r="H123" s="267"/>
      <c r="I123" s="296"/>
    </row>
    <row r="124" spans="1:9" s="16" customFormat="1" ht="14.25" customHeight="1">
      <c r="A124" s="75"/>
      <c r="B124" s="18"/>
      <c r="C124" s="264"/>
      <c r="D124" s="264"/>
      <c r="E124" s="264"/>
      <c r="F124" s="269"/>
      <c r="G124" s="264"/>
      <c r="H124" s="265"/>
      <c r="I124" s="266"/>
    </row>
    <row r="125" spans="1:9" s="16" customFormat="1" ht="14.25" customHeight="1">
      <c r="A125" s="169" t="s">
        <v>247</v>
      </c>
      <c r="B125" s="18" t="s">
        <v>81</v>
      </c>
      <c r="C125" s="263">
        <v>0</v>
      </c>
      <c r="D125" s="263">
        <v>0</v>
      </c>
      <c r="E125" s="263">
        <v>0</v>
      </c>
      <c r="F125" s="263">
        <v>0</v>
      </c>
      <c r="G125" s="263">
        <v>0</v>
      </c>
      <c r="H125" s="263">
        <v>0</v>
      </c>
      <c r="I125" s="268"/>
    </row>
    <row r="126" spans="1:9" s="16" customFormat="1" ht="14.25" customHeight="1">
      <c r="A126" s="127"/>
      <c r="B126" s="36"/>
      <c r="C126" s="278"/>
      <c r="D126" s="278"/>
      <c r="E126" s="278"/>
      <c r="F126" s="279"/>
      <c r="G126" s="278"/>
      <c r="H126" s="280"/>
      <c r="I126" s="281"/>
    </row>
    <row r="127" spans="1:9" s="16" customFormat="1" ht="14.25" customHeight="1">
      <c r="A127" s="256" t="s">
        <v>248</v>
      </c>
      <c r="B127" s="34" t="s">
        <v>88</v>
      </c>
      <c r="C127" s="272">
        <f aca="true" t="shared" si="10" ref="C127:H127">C119+C121+C123+C125</f>
        <v>-272590.85</v>
      </c>
      <c r="D127" s="272">
        <f t="shared" si="10"/>
        <v>0</v>
      </c>
      <c r="E127" s="272">
        <f t="shared" si="10"/>
        <v>0</v>
      </c>
      <c r="F127" s="272">
        <f t="shared" si="10"/>
        <v>-167761.87</v>
      </c>
      <c r="G127" s="272">
        <f t="shared" si="10"/>
        <v>22586.33</v>
      </c>
      <c r="H127" s="272">
        <f t="shared" si="10"/>
        <v>0</v>
      </c>
      <c r="I127" s="297" t="s">
        <v>25</v>
      </c>
    </row>
    <row r="128" spans="1:9" s="16" customFormat="1" ht="14.25" customHeight="1">
      <c r="A128" s="127"/>
      <c r="B128" s="104"/>
      <c r="C128" s="282"/>
      <c r="D128" s="282"/>
      <c r="E128" s="282"/>
      <c r="F128" s="283"/>
      <c r="G128" s="282"/>
      <c r="H128" s="284"/>
      <c r="I128" s="285"/>
    </row>
    <row r="129" spans="1:9" s="16" customFormat="1" ht="14.25" customHeight="1">
      <c r="A129" s="55" t="s">
        <v>192</v>
      </c>
      <c r="B129" s="36"/>
      <c r="C129" s="278"/>
      <c r="D129" s="278"/>
      <c r="E129" s="278"/>
      <c r="F129" s="279"/>
      <c r="G129" s="278"/>
      <c r="H129" s="280"/>
      <c r="I129" s="281"/>
    </row>
    <row r="130" spans="1:9" s="16" customFormat="1" ht="14.25" customHeight="1">
      <c r="A130" s="75" t="s">
        <v>191</v>
      </c>
      <c r="B130" s="18" t="s">
        <v>81</v>
      </c>
      <c r="C130" s="275">
        <v>531835.76</v>
      </c>
      <c r="D130" s="275">
        <v>0</v>
      </c>
      <c r="E130" s="275">
        <v>0</v>
      </c>
      <c r="F130" s="263">
        <v>1912406.84</v>
      </c>
      <c r="G130" s="275">
        <v>199192.59</v>
      </c>
      <c r="H130" s="276">
        <v>1540169</v>
      </c>
      <c r="I130" s="277"/>
    </row>
    <row r="131" spans="1:9" s="16" customFormat="1" ht="14.25" customHeight="1">
      <c r="A131" s="127"/>
      <c r="B131" s="36"/>
      <c r="C131" s="264"/>
      <c r="D131" s="264"/>
      <c r="E131" s="264"/>
      <c r="F131" s="269"/>
      <c r="G131" s="264"/>
      <c r="H131" s="265"/>
      <c r="I131" s="266"/>
    </row>
    <row r="132" spans="1:9" s="16" customFormat="1" ht="14.25" customHeight="1">
      <c r="A132" s="55" t="s">
        <v>158</v>
      </c>
      <c r="B132" s="18" t="s">
        <v>81</v>
      </c>
      <c r="C132" s="275">
        <v>0</v>
      </c>
      <c r="D132" s="275">
        <v>0</v>
      </c>
      <c r="E132" s="275">
        <v>0</v>
      </c>
      <c r="F132" s="263">
        <v>0</v>
      </c>
      <c r="G132" s="275">
        <v>0</v>
      </c>
      <c r="H132" s="276">
        <v>0</v>
      </c>
      <c r="I132" s="277"/>
    </row>
    <row r="133" spans="1:9" s="16" customFormat="1" ht="14.25" customHeight="1">
      <c r="A133" s="127"/>
      <c r="B133" s="36"/>
      <c r="C133" s="278" t="s">
        <v>25</v>
      </c>
      <c r="D133" s="278"/>
      <c r="E133" s="278"/>
      <c r="F133" s="279"/>
      <c r="G133" s="278"/>
      <c r="H133" s="280"/>
      <c r="I133" s="281"/>
    </row>
    <row r="134" spans="1:16" s="16" customFormat="1" ht="14.25" customHeight="1">
      <c r="A134" s="57" t="s">
        <v>159</v>
      </c>
      <c r="B134" s="34" t="s">
        <v>88</v>
      </c>
      <c r="C134" s="272">
        <f aca="true" t="shared" si="11" ref="C134:H134">C127+C130+C132</f>
        <v>259244.91</v>
      </c>
      <c r="D134" s="272">
        <f t="shared" si="11"/>
        <v>0</v>
      </c>
      <c r="E134" s="272">
        <f t="shared" si="11"/>
        <v>0</v>
      </c>
      <c r="F134" s="272">
        <f t="shared" si="11"/>
        <v>1744644.97</v>
      </c>
      <c r="G134" s="272">
        <f t="shared" si="11"/>
        <v>221778.92</v>
      </c>
      <c r="H134" s="272">
        <f t="shared" si="11"/>
        <v>1540169</v>
      </c>
      <c r="I134" s="273"/>
      <c r="J134" s="178"/>
      <c r="K134" s="178"/>
      <c r="L134" s="178"/>
      <c r="M134" s="178"/>
      <c r="N134" s="178"/>
      <c r="O134" s="178"/>
      <c r="P134" s="178"/>
    </row>
    <row r="135" spans="1:9" s="16" customFormat="1" ht="14.25" customHeight="1">
      <c r="A135" s="127"/>
      <c r="B135" s="36"/>
      <c r="C135" s="282"/>
      <c r="D135" s="282"/>
      <c r="E135" s="282"/>
      <c r="F135" s="283"/>
      <c r="G135" s="282"/>
      <c r="H135" s="284"/>
      <c r="I135" s="285"/>
    </row>
    <row r="136" spans="1:9" s="16" customFormat="1" ht="14.25" customHeight="1">
      <c r="A136" s="55" t="s">
        <v>160</v>
      </c>
      <c r="B136" s="36"/>
      <c r="C136" s="278"/>
      <c r="D136" s="278"/>
      <c r="E136" s="278"/>
      <c r="F136" s="279"/>
      <c r="G136" s="278"/>
      <c r="H136" s="280"/>
      <c r="I136" s="281"/>
    </row>
    <row r="137" spans="1:9" s="16" customFormat="1" ht="14.25" customHeight="1">
      <c r="A137" s="75" t="s">
        <v>187</v>
      </c>
      <c r="B137" s="18" t="s">
        <v>84</v>
      </c>
      <c r="C137" s="302">
        <v>-372714.39</v>
      </c>
      <c r="D137" s="302">
        <v>0</v>
      </c>
      <c r="E137" s="302">
        <v>0</v>
      </c>
      <c r="F137" s="302">
        <v>-1518826.77</v>
      </c>
      <c r="G137" s="302">
        <v>-201805.64</v>
      </c>
      <c r="H137" s="312">
        <v>0</v>
      </c>
      <c r="I137" s="313"/>
    </row>
    <row r="138" spans="1:9" s="16" customFormat="1" ht="14.25" customHeight="1">
      <c r="A138" s="127"/>
      <c r="B138" s="36"/>
      <c r="C138" s="264"/>
      <c r="D138" s="264"/>
      <c r="E138" s="264"/>
      <c r="F138" s="269"/>
      <c r="G138" s="264"/>
      <c r="H138" s="265"/>
      <c r="I138" s="266"/>
    </row>
    <row r="139" spans="1:9" s="16" customFormat="1" ht="14.25" customHeight="1">
      <c r="A139" s="55" t="s">
        <v>206</v>
      </c>
      <c r="B139" s="18" t="s">
        <v>84</v>
      </c>
      <c r="C139" s="302">
        <v>0</v>
      </c>
      <c r="D139" s="302">
        <v>0</v>
      </c>
      <c r="E139" s="302">
        <v>0</v>
      </c>
      <c r="F139" s="302">
        <v>0</v>
      </c>
      <c r="G139" s="302">
        <v>0</v>
      </c>
      <c r="H139" s="312">
        <v>0</v>
      </c>
      <c r="I139" s="313"/>
    </row>
    <row r="140" spans="1:9" s="16" customFormat="1" ht="14.25" customHeight="1">
      <c r="A140" s="127"/>
      <c r="B140" s="36"/>
      <c r="C140" s="282"/>
      <c r="D140" s="282"/>
      <c r="E140" s="282"/>
      <c r="F140" s="283"/>
      <c r="G140" s="282"/>
      <c r="H140" s="284"/>
      <c r="I140" s="285"/>
    </row>
    <row r="141" spans="1:9" s="16" customFormat="1" ht="14.25" customHeight="1">
      <c r="A141" s="55" t="s">
        <v>194</v>
      </c>
      <c r="B141" s="18" t="s">
        <v>157</v>
      </c>
      <c r="C141" s="263">
        <v>0</v>
      </c>
      <c r="D141" s="263">
        <v>0</v>
      </c>
      <c r="E141" s="263">
        <v>0</v>
      </c>
      <c r="F141" s="263">
        <v>0</v>
      </c>
      <c r="G141" s="263">
        <v>0</v>
      </c>
      <c r="H141" s="267">
        <v>0</v>
      </c>
      <c r="I141" s="268"/>
    </row>
    <row r="142" spans="1:9" s="16" customFormat="1" ht="14.25" customHeight="1">
      <c r="A142" s="127"/>
      <c r="B142" s="36"/>
      <c r="C142" s="282"/>
      <c r="D142" s="282"/>
      <c r="E142" s="282"/>
      <c r="F142" s="283"/>
      <c r="G142" s="282"/>
      <c r="H142" s="284"/>
      <c r="I142" s="285"/>
    </row>
    <row r="143" spans="1:9" s="16" customFormat="1" ht="14.25" customHeight="1">
      <c r="A143" s="55" t="s">
        <v>162</v>
      </c>
      <c r="B143" s="18" t="s">
        <v>84</v>
      </c>
      <c r="C143" s="269">
        <f>-INVESTMENTS!F21</f>
        <v>0</v>
      </c>
      <c r="D143" s="269">
        <f>-INVESTMENTS!F22</f>
        <v>0</v>
      </c>
      <c r="E143" s="269">
        <f>-INVESTMENTS!F23</f>
        <v>0</v>
      </c>
      <c r="F143" s="264">
        <f>(-INVESTMENTS!F24)</f>
        <v>0</v>
      </c>
      <c r="G143" s="269">
        <f>-INVESTMENTS!F25</f>
        <v>0</v>
      </c>
      <c r="H143" s="269">
        <f>-INVESTMENTS!F26</f>
        <v>0</v>
      </c>
      <c r="I143" s="266"/>
    </row>
    <row r="144" spans="1:9" s="16" customFormat="1" ht="14.25" customHeight="1">
      <c r="A144" s="127"/>
      <c r="B144" s="36"/>
      <c r="C144" s="282"/>
      <c r="D144" s="282"/>
      <c r="E144" s="282"/>
      <c r="F144" s="283"/>
      <c r="G144" s="282"/>
      <c r="H144" s="284"/>
      <c r="I144" s="285"/>
    </row>
    <row r="145" spans="1:9" s="16" customFormat="1" ht="14.25" customHeight="1">
      <c r="A145" s="55" t="s">
        <v>163</v>
      </c>
      <c r="B145" s="18" t="s">
        <v>157</v>
      </c>
      <c r="C145" s="298">
        <v>0</v>
      </c>
      <c r="D145" s="263">
        <v>0</v>
      </c>
      <c r="E145" s="263">
        <v>0</v>
      </c>
      <c r="F145" s="263">
        <v>0</v>
      </c>
      <c r="G145" s="263">
        <v>0</v>
      </c>
      <c r="H145" s="267">
        <v>0</v>
      </c>
      <c r="I145" s="266"/>
    </row>
    <row r="146" spans="1:9" s="16" customFormat="1" ht="14.25" customHeight="1">
      <c r="A146" s="127"/>
      <c r="B146" s="36"/>
      <c r="C146" s="282"/>
      <c r="D146" s="282"/>
      <c r="E146" s="282"/>
      <c r="F146" s="283"/>
      <c r="G146" s="282"/>
      <c r="H146" s="284"/>
      <c r="I146" s="285"/>
    </row>
    <row r="147" spans="1:9" s="16" customFormat="1" ht="14.25" customHeight="1">
      <c r="A147" s="57" t="s">
        <v>164</v>
      </c>
      <c r="B147" s="34" t="s">
        <v>88</v>
      </c>
      <c r="C147" s="272">
        <f aca="true" t="shared" si="12" ref="C147:H147">(C134+C137+C139+C141+C143+C145)</f>
        <v>-113469.48</v>
      </c>
      <c r="D147" s="272">
        <f t="shared" si="12"/>
        <v>0</v>
      </c>
      <c r="E147" s="272">
        <f t="shared" si="12"/>
        <v>0</v>
      </c>
      <c r="F147" s="272">
        <f t="shared" si="12"/>
        <v>225818.2</v>
      </c>
      <c r="G147" s="272">
        <f t="shared" si="12"/>
        <v>19973.28</v>
      </c>
      <c r="H147" s="272">
        <f t="shared" si="12"/>
        <v>1540169</v>
      </c>
      <c r="I147" s="273"/>
    </row>
    <row r="148" spans="1:9" s="16" customFormat="1" ht="14.25" customHeight="1">
      <c r="A148" s="127"/>
      <c r="B148" s="36"/>
      <c r="C148" s="282"/>
      <c r="D148" s="282"/>
      <c r="E148" s="282"/>
      <c r="F148" s="283"/>
      <c r="G148" s="282"/>
      <c r="H148" s="284"/>
      <c r="I148" s="285"/>
    </row>
    <row r="149" spans="1:9" s="16" customFormat="1" ht="14.25" customHeight="1">
      <c r="A149" s="55" t="s">
        <v>100</v>
      </c>
      <c r="B149" s="18" t="s">
        <v>81</v>
      </c>
      <c r="C149" s="269">
        <f>INVESTMENTS!F21</f>
        <v>0</v>
      </c>
      <c r="D149" s="269">
        <f>INVESTMENTS!F22</f>
        <v>0</v>
      </c>
      <c r="E149" s="269">
        <f>INVESTMENTS!F23</f>
        <v>0</v>
      </c>
      <c r="F149" s="269">
        <f>INVESTMENTS!F24</f>
        <v>0</v>
      </c>
      <c r="G149" s="269">
        <f>INVESTMENTS!F25</f>
        <v>0</v>
      </c>
      <c r="H149" s="269">
        <f>INVESTMENTS!F26</f>
        <v>0</v>
      </c>
      <c r="I149" s="266"/>
    </row>
    <row r="150" spans="1:9" s="16" customFormat="1" ht="14.25" customHeight="1">
      <c r="A150" s="127"/>
      <c r="B150" s="36"/>
      <c r="C150" s="282"/>
      <c r="D150" s="282"/>
      <c r="E150" s="282"/>
      <c r="F150" s="283"/>
      <c r="G150" s="282"/>
      <c r="H150" s="284"/>
      <c r="I150" s="285"/>
    </row>
    <row r="151" spans="1:9" s="16" customFormat="1" ht="14.25" customHeight="1">
      <c r="A151" s="57" t="s">
        <v>165</v>
      </c>
      <c r="B151" s="34" t="s">
        <v>88</v>
      </c>
      <c r="C151" s="272">
        <f aca="true" t="shared" si="13" ref="C151:H151">C147+C149</f>
        <v>-113469.48</v>
      </c>
      <c r="D151" s="272">
        <f t="shared" si="13"/>
        <v>0</v>
      </c>
      <c r="E151" s="272">
        <f t="shared" si="13"/>
        <v>0</v>
      </c>
      <c r="F151" s="272">
        <f t="shared" si="13"/>
        <v>225818.2</v>
      </c>
      <c r="G151" s="272">
        <f t="shared" si="13"/>
        <v>19973.28</v>
      </c>
      <c r="H151" s="272">
        <f t="shared" si="13"/>
        <v>1540169</v>
      </c>
      <c r="I151" s="273"/>
    </row>
    <row r="152" spans="1:9" s="16" customFormat="1" ht="14.25" customHeight="1">
      <c r="A152" s="127"/>
      <c r="B152" s="36"/>
      <c r="C152" s="283"/>
      <c r="D152" s="283"/>
      <c r="E152" s="283"/>
      <c r="F152" s="283"/>
      <c r="G152" s="283"/>
      <c r="H152" s="286"/>
      <c r="I152" s="287"/>
    </row>
    <row r="153" spans="1:9" s="16" customFormat="1" ht="14.25" customHeight="1">
      <c r="A153" s="55" t="s">
        <v>189</v>
      </c>
      <c r="B153" s="18" t="s">
        <v>166</v>
      </c>
      <c r="C153" s="263">
        <v>0</v>
      </c>
      <c r="D153" s="263">
        <v>0</v>
      </c>
      <c r="E153" s="263">
        <v>0</v>
      </c>
      <c r="F153" s="263">
        <v>0</v>
      </c>
      <c r="G153" s="263">
        <v>0</v>
      </c>
      <c r="H153" s="267">
        <v>0</v>
      </c>
      <c r="I153" s="268"/>
    </row>
    <row r="154" spans="1:9" s="16" customFormat="1" ht="14.25" customHeight="1">
      <c r="A154" s="75" t="s">
        <v>190</v>
      </c>
      <c r="B154" s="36"/>
      <c r="C154" s="279"/>
      <c r="D154" s="279"/>
      <c r="E154" s="279"/>
      <c r="F154" s="279"/>
      <c r="G154" s="279" t="s">
        <v>25</v>
      </c>
      <c r="H154" s="288"/>
      <c r="I154" s="289"/>
    </row>
    <row r="155" spans="1:9" s="16" customFormat="1" ht="14.25" customHeight="1">
      <c r="A155" s="127"/>
      <c r="B155" s="36"/>
      <c r="C155" s="283"/>
      <c r="D155" s="283"/>
      <c r="E155" s="283"/>
      <c r="F155" s="283"/>
      <c r="G155" s="283"/>
      <c r="H155" s="286"/>
      <c r="I155" s="287"/>
    </row>
    <row r="156" spans="1:9" s="15" customFormat="1" ht="14.25" customHeight="1">
      <c r="A156" s="57" t="s">
        <v>188</v>
      </c>
      <c r="B156" s="34" t="s">
        <v>84</v>
      </c>
      <c r="C156" s="314">
        <v>0</v>
      </c>
      <c r="D156" s="314">
        <v>0</v>
      </c>
      <c r="E156" s="314">
        <v>0</v>
      </c>
      <c r="F156" s="314">
        <v>0</v>
      </c>
      <c r="G156" s="314">
        <v>0</v>
      </c>
      <c r="H156" s="314">
        <v>0</v>
      </c>
      <c r="I156" s="291"/>
    </row>
    <row r="157" spans="1:9" s="132" customFormat="1" ht="14.25" customHeight="1" thickBot="1">
      <c r="A157" s="58" t="s">
        <v>167</v>
      </c>
      <c r="B157" s="59" t="s">
        <v>88</v>
      </c>
      <c r="C157" s="317">
        <f aca="true" t="shared" si="14" ref="C157:H157">C151+C153+C156</f>
        <v>-113469.48</v>
      </c>
      <c r="D157" s="317">
        <f t="shared" si="14"/>
        <v>0</v>
      </c>
      <c r="E157" s="317">
        <f t="shared" si="14"/>
        <v>0</v>
      </c>
      <c r="F157" s="317">
        <f t="shared" si="14"/>
        <v>225818.2</v>
      </c>
      <c r="G157" s="317">
        <f t="shared" si="14"/>
        <v>19973.28</v>
      </c>
      <c r="H157" s="317">
        <f t="shared" si="14"/>
        <v>1540169</v>
      </c>
      <c r="I157" s="318"/>
    </row>
    <row r="158" spans="1:9" s="16" customFormat="1" ht="14.25" customHeight="1" thickTop="1">
      <c r="A158" s="81" t="s">
        <v>196</v>
      </c>
      <c r="B158" s="36"/>
      <c r="C158" s="292" t="str">
        <f>IF('CASH RECONC'!C141='CASH REPORT'!C157," ","NOT BALANCED")</f>
        <v> </v>
      </c>
      <c r="D158" s="292" t="str">
        <f>IF('CASH RECONC'!D141='CASH REPORT'!D157," ","NOT BALANCED")</f>
        <v> </v>
      </c>
      <c r="E158" s="292" t="str">
        <f>IF('CASH RECONC'!E141='CASH REPORT'!E157," ","NOT BALANCED")</f>
        <v> </v>
      </c>
      <c r="F158" s="292" t="str">
        <f>IF('CASH RECONC'!F141='CASH REPORT'!F157," ","NOT BALANCED")</f>
        <v> </v>
      </c>
      <c r="G158" s="292" t="str">
        <f>IF('CASH RECONC'!G141='CASH REPORT'!G157," ","NOT BALANCED")</f>
        <v> </v>
      </c>
      <c r="H158" s="292" t="str">
        <f>IF('CASH RECONC'!H141='CASH REPORT'!H157," ","NOT BALANCED")</f>
        <v> </v>
      </c>
      <c r="I158" s="293"/>
    </row>
    <row r="159" spans="1:9" s="16" customFormat="1" ht="14.25" customHeight="1">
      <c r="A159" s="133" t="s">
        <v>168</v>
      </c>
      <c r="B159" s="35"/>
      <c r="C159" s="294">
        <v>103991.41</v>
      </c>
      <c r="D159" s="294">
        <v>0</v>
      </c>
      <c r="E159" s="294">
        <v>0</v>
      </c>
      <c r="F159" s="290">
        <v>553224.45</v>
      </c>
      <c r="G159" s="294">
        <v>58225.03</v>
      </c>
      <c r="H159" s="294">
        <v>0</v>
      </c>
      <c r="I159" s="295"/>
    </row>
    <row r="160" spans="1:7" s="16" customFormat="1" ht="14.25" customHeight="1">
      <c r="A160" s="60"/>
      <c r="B160" s="11"/>
      <c r="C160" s="54"/>
      <c r="D160" s="54"/>
      <c r="E160" s="54"/>
      <c r="F160" s="54"/>
      <c r="G160" s="54"/>
    </row>
    <row r="161" spans="1:7" s="16" customFormat="1" ht="14.25" customHeight="1">
      <c r="A161" s="79" t="s">
        <v>169</v>
      </c>
      <c r="C161" s="130"/>
      <c r="D161" s="130"/>
      <c r="E161" s="130"/>
      <c r="F161" s="130"/>
      <c r="G161" s="130"/>
    </row>
    <row r="162" s="144" customFormat="1" ht="14.25" customHeight="1">
      <c r="A162" s="143"/>
    </row>
    <row r="163" spans="1:9" s="155" customFormat="1" ht="14.25" customHeight="1">
      <c r="A163" s="145" t="str">
        <f>A1</f>
        <v>SCHOOL DISTRICT/CHARTER:   GADSDEN</v>
      </c>
      <c r="B163" s="146"/>
      <c r="C163" s="146"/>
      <c r="D163" s="146"/>
      <c r="E163" s="146"/>
      <c r="F163" s="146"/>
      <c r="G163" s="146" t="s">
        <v>1</v>
      </c>
      <c r="H163" s="147">
        <f>I1</f>
        <v>0</v>
      </c>
      <c r="I163" s="146"/>
    </row>
    <row r="164" spans="1:9" s="155" customFormat="1" ht="14.25" customHeight="1">
      <c r="A164" s="148" t="s">
        <v>25</v>
      </c>
      <c r="B164" s="16"/>
      <c r="C164" s="16"/>
      <c r="D164" s="16"/>
      <c r="E164" s="16"/>
      <c r="F164" s="16"/>
      <c r="G164" s="16" t="str">
        <f>G2</f>
        <v>PED No.:</v>
      </c>
      <c r="H164" s="258">
        <f>I2</f>
        <v>0</v>
      </c>
      <c r="I164" s="16"/>
    </row>
    <row r="165" spans="1:9" s="16" customFormat="1" ht="14.25" customHeight="1" thickBot="1">
      <c r="A165" s="148"/>
      <c r="C165" s="106"/>
      <c r="D165" s="106"/>
      <c r="E165" s="106"/>
      <c r="F165" s="106"/>
      <c r="G165" s="106"/>
      <c r="I165" s="146"/>
    </row>
    <row r="166" spans="1:8" s="16" customFormat="1" ht="14.25" customHeight="1">
      <c r="A166" s="149"/>
      <c r="B166" s="150"/>
      <c r="C166" s="65" t="s">
        <v>180</v>
      </c>
      <c r="D166" s="65" t="s">
        <v>142</v>
      </c>
      <c r="E166" s="65" t="s">
        <v>143</v>
      </c>
      <c r="F166" s="65" t="s">
        <v>144</v>
      </c>
      <c r="G166" s="343" t="s">
        <v>213</v>
      </c>
      <c r="H166" s="344"/>
    </row>
    <row r="167" spans="1:9" s="16" customFormat="1" ht="14.25" customHeight="1">
      <c r="A167" s="151"/>
      <c r="C167" s="67" t="s">
        <v>145</v>
      </c>
      <c r="D167" s="72" t="s">
        <v>145</v>
      </c>
      <c r="E167" s="67" t="s">
        <v>146</v>
      </c>
      <c r="F167" s="72" t="s">
        <v>147</v>
      </c>
      <c r="G167" s="345" t="s">
        <v>214</v>
      </c>
      <c r="H167" s="346"/>
      <c r="I167" s="146"/>
    </row>
    <row r="168" spans="1:8" s="98" customFormat="1" ht="14.25" customHeight="1" thickBot="1">
      <c r="A168" s="152"/>
      <c r="B168" s="153"/>
      <c r="C168" s="84">
        <v>32100</v>
      </c>
      <c r="D168" s="84">
        <v>41000</v>
      </c>
      <c r="E168" s="84">
        <v>42000</v>
      </c>
      <c r="F168" s="84">
        <v>43000</v>
      </c>
      <c r="G168" s="347" t="s">
        <v>215</v>
      </c>
      <c r="H168" s="348"/>
    </row>
    <row r="169" spans="1:9" s="16" customFormat="1" ht="14.25" customHeight="1">
      <c r="A169" s="73"/>
      <c r="B169" s="11"/>
      <c r="C169" s="54"/>
      <c r="D169" s="69"/>
      <c r="E169" s="69"/>
      <c r="F169" s="69"/>
      <c r="G169" s="349" t="str">
        <f>IF((SUM(C7:H7)+SUM(C65:H65)+SUM(C117:H117)+SUM(C169:F169))=0," ",SUM(C7:H7)+SUM(C65:H65)+SUM(C117:H117)+SUM(C169:F169))</f>
        <v> </v>
      </c>
      <c r="H169" s="350"/>
      <c r="I169" s="146"/>
    </row>
    <row r="170" spans="1:8" s="16" customFormat="1" ht="14.25" customHeight="1">
      <c r="A170" s="169" t="str">
        <f>A8</f>
        <v>AUDITED NET CASH 06/30/04    (Taken from the district/charter</v>
      </c>
      <c r="B170" s="106"/>
      <c r="C170" s="130"/>
      <c r="D170" s="139"/>
      <c r="E170" s="139"/>
      <c r="F170" s="139"/>
      <c r="G170" s="331" t="str">
        <f>IF((SUM(C8:H8)+SUM(C66:H66)+SUM(C118:H118)+SUM(C170:F170))=0," ",SUM(C8:H8)+SUM(C66:H66)+SUM(C118:H118)+SUM(C170:F170))</f>
        <v> </v>
      </c>
      <c r="H170" s="332"/>
    </row>
    <row r="171" spans="1:9" s="16" customFormat="1" ht="14.25" customHeight="1">
      <c r="A171" s="75" t="str">
        <f>A9</f>
        <v> Prior Fiscal Year Audit)</v>
      </c>
      <c r="B171" s="12" t="s">
        <v>81</v>
      </c>
      <c r="C171" s="263">
        <v>6207.7</v>
      </c>
      <c r="D171" s="267">
        <f>6996285.09-4000000</f>
        <v>2996285.09</v>
      </c>
      <c r="E171" s="267">
        <v>0</v>
      </c>
      <c r="F171" s="267">
        <v>0</v>
      </c>
      <c r="G171" s="340">
        <f>IF((SUM(C9:H9)+SUM(C67:H67)+SUM(C119:H119)+SUM(C171:F171))=0," ",SUM(C9:H9)+SUM(C67:H67)+SUM(C119:H119)+SUM(C171:F171))</f>
        <v>7780819.17</v>
      </c>
      <c r="H171" s="341"/>
      <c r="I171" s="146"/>
    </row>
    <row r="172" spans="1:8" s="16" customFormat="1" ht="14.25" customHeight="1">
      <c r="A172" s="76"/>
      <c r="C172" s="279"/>
      <c r="D172" s="288"/>
      <c r="E172" s="288"/>
      <c r="F172" s="288"/>
      <c r="G172" s="340" t="str">
        <f aca="true" t="shared" si="15" ref="G172:G211">IF((SUM(C10:H10)+SUM(C68:H68)+SUM(C120:H120)+SUM(C172:F172))=0," ",SUM(C10:H10)+SUM(C68:H68)+SUM(C120:H120)+SUM(C172:F172))</f>
        <v> </v>
      </c>
      <c r="H172" s="341"/>
    </row>
    <row r="173" spans="1:9" s="16" customFormat="1" ht="14.25" customHeight="1">
      <c r="A173" s="55" t="s">
        <v>193</v>
      </c>
      <c r="B173" s="12" t="s">
        <v>84</v>
      </c>
      <c r="C173" s="302">
        <v>0</v>
      </c>
      <c r="D173" s="312">
        <v>0</v>
      </c>
      <c r="E173" s="312">
        <v>0</v>
      </c>
      <c r="F173" s="312">
        <v>0</v>
      </c>
      <c r="G173" s="340" t="str">
        <f t="shared" si="15"/>
        <v> </v>
      </c>
      <c r="H173" s="341"/>
      <c r="I173" s="146"/>
    </row>
    <row r="174" spans="1:8" s="16" customFormat="1" ht="14.25" customHeight="1">
      <c r="A174" s="55" t="s">
        <v>189</v>
      </c>
      <c r="B174" s="12"/>
      <c r="C174" s="269"/>
      <c r="D174" s="270"/>
      <c r="E174" s="270"/>
      <c r="F174" s="270"/>
      <c r="G174" s="340" t="str">
        <f t="shared" si="15"/>
        <v> </v>
      </c>
      <c r="H174" s="341"/>
    </row>
    <row r="175" spans="1:9" s="16" customFormat="1" ht="14.25" customHeight="1">
      <c r="A175" s="75" t="s">
        <v>190</v>
      </c>
      <c r="B175" s="185" t="s">
        <v>157</v>
      </c>
      <c r="C175" s="263">
        <v>0</v>
      </c>
      <c r="D175" s="267">
        <v>0</v>
      </c>
      <c r="E175" s="267">
        <v>0</v>
      </c>
      <c r="F175" s="267">
        <v>0</v>
      </c>
      <c r="G175" s="340" t="str">
        <f t="shared" si="15"/>
        <v> </v>
      </c>
      <c r="H175" s="341"/>
      <c r="I175" s="146"/>
    </row>
    <row r="176" spans="1:8" s="16" customFormat="1" ht="14.25" customHeight="1">
      <c r="A176" s="75"/>
      <c r="B176" s="12"/>
      <c r="C176" s="269"/>
      <c r="D176" s="270"/>
      <c r="E176" s="270"/>
      <c r="F176" s="270"/>
      <c r="G176" s="340" t="str">
        <f t="shared" si="15"/>
        <v> </v>
      </c>
      <c r="H176" s="341"/>
    </row>
    <row r="177" spans="1:9" s="16" customFormat="1" ht="14.25" customHeight="1">
      <c r="A177" s="169" t="s">
        <v>247</v>
      </c>
      <c r="B177" s="12" t="s">
        <v>81</v>
      </c>
      <c r="C177" s="267">
        <v>0</v>
      </c>
      <c r="D177" s="267">
        <v>4000000</v>
      </c>
      <c r="E177" s="267">
        <v>0</v>
      </c>
      <c r="F177" s="267">
        <v>0</v>
      </c>
      <c r="G177" s="340">
        <f t="shared" si="15"/>
        <v>15550000</v>
      </c>
      <c r="H177" s="341"/>
      <c r="I177" s="146"/>
    </row>
    <row r="178" spans="1:8" s="16" customFormat="1" ht="14.25" customHeight="1">
      <c r="A178" s="127"/>
      <c r="C178" s="279"/>
      <c r="D178" s="288"/>
      <c r="E178" s="288"/>
      <c r="F178" s="288"/>
      <c r="G178" s="340" t="str">
        <f t="shared" si="15"/>
        <v> </v>
      </c>
      <c r="H178" s="341"/>
    </row>
    <row r="179" spans="1:9" s="16" customFormat="1" ht="14.25" customHeight="1">
      <c r="A179" s="256" t="s">
        <v>248</v>
      </c>
      <c r="B179" s="13" t="s">
        <v>88</v>
      </c>
      <c r="C179" s="272">
        <f>C171+C173+C175+C177</f>
        <v>6207.7</v>
      </c>
      <c r="D179" s="272">
        <f>D171+D173+D175+D177</f>
        <v>6996285.09</v>
      </c>
      <c r="E179" s="272">
        <f>E171+E173+E175+E177</f>
        <v>0</v>
      </c>
      <c r="F179" s="272">
        <f>F171+F173+F175+F177</f>
        <v>0</v>
      </c>
      <c r="G179" s="338">
        <f t="shared" si="15"/>
        <v>23330819.17</v>
      </c>
      <c r="H179" s="339"/>
      <c r="I179" s="146"/>
    </row>
    <row r="180" spans="1:8" s="16" customFormat="1" ht="14.25" customHeight="1">
      <c r="A180" s="127"/>
      <c r="C180" s="283"/>
      <c r="D180" s="286"/>
      <c r="E180" s="286"/>
      <c r="F180" s="286"/>
      <c r="G180" s="355" t="str">
        <f t="shared" si="15"/>
        <v> </v>
      </c>
      <c r="H180" s="356"/>
    </row>
    <row r="181" spans="1:9" s="16" customFormat="1" ht="14.25" customHeight="1">
      <c r="A181" s="55" t="s">
        <v>192</v>
      </c>
      <c r="C181" s="279"/>
      <c r="D181" s="288"/>
      <c r="E181" s="288"/>
      <c r="F181" s="288"/>
      <c r="G181" s="340" t="str">
        <f t="shared" si="15"/>
        <v> </v>
      </c>
      <c r="H181" s="341"/>
      <c r="I181" s="146"/>
    </row>
    <row r="182" spans="1:8" s="16" customFormat="1" ht="14.25" customHeight="1">
      <c r="A182" s="75" t="s">
        <v>191</v>
      </c>
      <c r="B182" s="12" t="s">
        <v>81</v>
      </c>
      <c r="C182" s="263">
        <v>24114.93</v>
      </c>
      <c r="D182" s="267">
        <v>5030594.63</v>
      </c>
      <c r="E182" s="267">
        <v>0</v>
      </c>
      <c r="F182" s="267">
        <v>0</v>
      </c>
      <c r="G182" s="340">
        <f t="shared" si="15"/>
        <v>97398528.66</v>
      </c>
      <c r="H182" s="341"/>
    </row>
    <row r="183" spans="1:9" s="16" customFormat="1" ht="14.25" customHeight="1">
      <c r="A183" s="127"/>
      <c r="C183" s="269"/>
      <c r="D183" s="270"/>
      <c r="E183" s="270"/>
      <c r="F183" s="270"/>
      <c r="G183" s="340" t="str">
        <f t="shared" si="15"/>
        <v> </v>
      </c>
      <c r="H183" s="341"/>
      <c r="I183" s="146"/>
    </row>
    <row r="184" spans="1:8" s="16" customFormat="1" ht="14.25" customHeight="1">
      <c r="A184" s="55" t="s">
        <v>158</v>
      </c>
      <c r="B184" s="12" t="s">
        <v>81</v>
      </c>
      <c r="C184" s="263">
        <v>0</v>
      </c>
      <c r="D184" s="267">
        <v>0</v>
      </c>
      <c r="E184" s="267">
        <v>0</v>
      </c>
      <c r="F184" s="267">
        <v>0</v>
      </c>
      <c r="G184" s="340" t="str">
        <f t="shared" si="15"/>
        <v> </v>
      </c>
      <c r="H184" s="341"/>
    </row>
    <row r="185" spans="1:9" s="16" customFormat="1" ht="14.25" customHeight="1">
      <c r="A185" s="127"/>
      <c r="C185" s="279"/>
      <c r="D185" s="288"/>
      <c r="E185" s="288"/>
      <c r="F185" s="288"/>
      <c r="G185" s="340" t="str">
        <f t="shared" si="15"/>
        <v> </v>
      </c>
      <c r="H185" s="341"/>
      <c r="I185" s="146"/>
    </row>
    <row r="186" spans="1:8" s="16" customFormat="1" ht="14.25" customHeight="1">
      <c r="A186" s="57" t="s">
        <v>159</v>
      </c>
      <c r="B186" s="13" t="s">
        <v>88</v>
      </c>
      <c r="C186" s="272">
        <f>C179+C182+C184</f>
        <v>30322.63</v>
      </c>
      <c r="D186" s="272">
        <f>D179+D182+D184</f>
        <v>12026879.72</v>
      </c>
      <c r="E186" s="272">
        <f>E179+E182+E184</f>
        <v>0</v>
      </c>
      <c r="F186" s="272">
        <f>F179+F182+F184</f>
        <v>0</v>
      </c>
      <c r="G186" s="338">
        <f t="shared" si="15"/>
        <v>120729347.83</v>
      </c>
      <c r="H186" s="339"/>
    </row>
    <row r="187" spans="1:9" s="16" customFormat="1" ht="14.25" customHeight="1">
      <c r="A187" s="127"/>
      <c r="C187" s="283"/>
      <c r="D187" s="286"/>
      <c r="E187" s="286"/>
      <c r="F187" s="286"/>
      <c r="G187" s="355" t="str">
        <f t="shared" si="15"/>
        <v> </v>
      </c>
      <c r="H187" s="356"/>
      <c r="I187" s="146"/>
    </row>
    <row r="188" spans="1:8" s="16" customFormat="1" ht="14.25" customHeight="1">
      <c r="A188" s="55" t="s">
        <v>160</v>
      </c>
      <c r="C188" s="279"/>
      <c r="D188" s="288"/>
      <c r="E188" s="288"/>
      <c r="F188" s="288"/>
      <c r="G188" s="340" t="str">
        <f t="shared" si="15"/>
        <v> </v>
      </c>
      <c r="H188" s="341"/>
    </row>
    <row r="189" spans="1:9" s="16" customFormat="1" ht="14.25" customHeight="1">
      <c r="A189" s="75" t="s">
        <v>187</v>
      </c>
      <c r="B189" s="12" t="s">
        <v>84</v>
      </c>
      <c r="C189" s="302">
        <v>-46352</v>
      </c>
      <c r="D189" s="312">
        <v>-7110184.34</v>
      </c>
      <c r="E189" s="312">
        <v>0</v>
      </c>
      <c r="F189" s="312">
        <v>0</v>
      </c>
      <c r="G189" s="340">
        <f t="shared" si="15"/>
        <v>-92637189.51</v>
      </c>
      <c r="H189" s="341"/>
      <c r="I189" s="146"/>
    </row>
    <row r="190" spans="1:8" s="16" customFormat="1" ht="14.25" customHeight="1">
      <c r="A190" s="127"/>
      <c r="B190" s="12"/>
      <c r="C190" s="269"/>
      <c r="D190" s="270"/>
      <c r="E190" s="270"/>
      <c r="F190" s="270"/>
      <c r="G190" s="340" t="str">
        <f t="shared" si="15"/>
        <v> </v>
      </c>
      <c r="H190" s="341"/>
    </row>
    <row r="191" spans="1:9" s="16" customFormat="1" ht="14.25" customHeight="1">
      <c r="A191" s="55" t="s">
        <v>161</v>
      </c>
      <c r="B191" s="12" t="s">
        <v>84</v>
      </c>
      <c r="C191" s="302">
        <v>0</v>
      </c>
      <c r="D191" s="312">
        <v>0</v>
      </c>
      <c r="E191" s="312">
        <v>0</v>
      </c>
      <c r="F191" s="312">
        <v>0</v>
      </c>
      <c r="G191" s="340">
        <f t="shared" si="15"/>
        <v>-269041.31</v>
      </c>
      <c r="H191" s="341"/>
      <c r="I191" s="146"/>
    </row>
    <row r="192" spans="1:8" s="16" customFormat="1" ht="14.25" customHeight="1">
      <c r="A192" s="127"/>
      <c r="B192" s="12"/>
      <c r="C192" s="269"/>
      <c r="D192" s="270"/>
      <c r="E192" s="270"/>
      <c r="F192" s="270"/>
      <c r="G192" s="340" t="str">
        <f t="shared" si="15"/>
        <v> </v>
      </c>
      <c r="H192" s="341"/>
    </row>
    <row r="193" spans="1:9" s="16" customFormat="1" ht="14.25" customHeight="1">
      <c r="A193" s="55" t="s">
        <v>194</v>
      </c>
      <c r="B193" s="12" t="s">
        <v>157</v>
      </c>
      <c r="C193" s="263">
        <v>0</v>
      </c>
      <c r="D193" s="267">
        <v>0</v>
      </c>
      <c r="E193" s="267">
        <v>0</v>
      </c>
      <c r="F193" s="267">
        <v>0</v>
      </c>
      <c r="G193" s="340" t="str">
        <f t="shared" si="15"/>
        <v> </v>
      </c>
      <c r="H193" s="341"/>
      <c r="I193" s="146"/>
    </row>
    <row r="194" spans="1:8" s="16" customFormat="1" ht="14.25" customHeight="1">
      <c r="A194" s="127"/>
      <c r="B194" s="12"/>
      <c r="C194" s="269"/>
      <c r="D194" s="270"/>
      <c r="E194" s="270"/>
      <c r="F194" s="270"/>
      <c r="G194" s="340" t="str">
        <f t="shared" si="15"/>
        <v> </v>
      </c>
      <c r="H194" s="341"/>
    </row>
    <row r="195" spans="1:9" s="16" customFormat="1" ht="14.25" customHeight="1">
      <c r="A195" s="55" t="s">
        <v>162</v>
      </c>
      <c r="B195" s="12" t="s">
        <v>84</v>
      </c>
      <c r="C195" s="270">
        <f>-INVESTMENTS!F27</f>
        <v>0</v>
      </c>
      <c r="D195" s="270">
        <f>-INVESTMENTS!F28</f>
        <v>-4502114.99</v>
      </c>
      <c r="E195" s="270">
        <f>-INVESTMENTS!F29</f>
        <v>0</v>
      </c>
      <c r="F195" s="270">
        <f>-INVESTMENTS!F30</f>
        <v>0</v>
      </c>
      <c r="G195" s="340">
        <f t="shared" si="15"/>
        <v>-15453912.12</v>
      </c>
      <c r="H195" s="341"/>
      <c r="I195" s="146"/>
    </row>
    <row r="196" spans="1:8" s="16" customFormat="1" ht="14.25" customHeight="1">
      <c r="A196" s="127"/>
      <c r="B196" s="12"/>
      <c r="C196" s="269"/>
      <c r="D196" s="270"/>
      <c r="E196" s="270"/>
      <c r="F196" s="270"/>
      <c r="G196" s="340" t="str">
        <f t="shared" si="15"/>
        <v> </v>
      </c>
      <c r="H196" s="341"/>
    </row>
    <row r="197" spans="1:9" s="16" customFormat="1" ht="14.25" customHeight="1">
      <c r="A197" s="55" t="s">
        <v>163</v>
      </c>
      <c r="B197" s="12" t="s">
        <v>157</v>
      </c>
      <c r="C197" s="263">
        <v>0</v>
      </c>
      <c r="D197" s="267">
        <v>0</v>
      </c>
      <c r="E197" s="267">
        <v>0</v>
      </c>
      <c r="F197" s="267">
        <v>0</v>
      </c>
      <c r="G197" s="340">
        <f t="shared" si="15"/>
        <v>-923126.94</v>
      </c>
      <c r="H197" s="341"/>
      <c r="I197" s="146"/>
    </row>
    <row r="198" spans="1:8" s="16" customFormat="1" ht="14.25" customHeight="1">
      <c r="A198" s="127"/>
      <c r="B198" s="12"/>
      <c r="C198" s="269"/>
      <c r="D198" s="270"/>
      <c r="E198" s="270"/>
      <c r="F198" s="270"/>
      <c r="G198" s="340" t="str">
        <f t="shared" si="15"/>
        <v> </v>
      </c>
      <c r="H198" s="341"/>
    </row>
    <row r="199" spans="1:9" s="16" customFormat="1" ht="14.25" customHeight="1">
      <c r="A199" s="57" t="s">
        <v>164</v>
      </c>
      <c r="B199" s="13" t="s">
        <v>88</v>
      </c>
      <c r="C199" s="272">
        <f>C186+C189+C191+C193+C195+C197</f>
        <v>-16029.37</v>
      </c>
      <c r="D199" s="272">
        <f>D186+D189+D191+D193+D195+D197</f>
        <v>414580.39</v>
      </c>
      <c r="E199" s="272">
        <f>E186+E189+E191+E193+E195+E197</f>
        <v>0</v>
      </c>
      <c r="F199" s="272">
        <f>F186+F189+F191+F193+F195+F197</f>
        <v>0</v>
      </c>
      <c r="G199" s="338">
        <f t="shared" si="15"/>
        <v>11446077.95</v>
      </c>
      <c r="H199" s="339"/>
      <c r="I199" s="146"/>
    </row>
    <row r="200" spans="1:8" s="16" customFormat="1" ht="14.25" customHeight="1">
      <c r="A200" s="127"/>
      <c r="C200" s="283"/>
      <c r="D200" s="286"/>
      <c r="E200" s="286"/>
      <c r="F200" s="286"/>
      <c r="G200" s="355" t="str">
        <f t="shared" si="15"/>
        <v> </v>
      </c>
      <c r="H200" s="356"/>
    </row>
    <row r="201" spans="1:9" s="16" customFormat="1" ht="14.25" customHeight="1">
      <c r="A201" s="55" t="s">
        <v>100</v>
      </c>
      <c r="B201" s="12" t="s">
        <v>81</v>
      </c>
      <c r="C201" s="270">
        <f>INVESTMENTS!F27</f>
        <v>0</v>
      </c>
      <c r="D201" s="270">
        <f>INVESTMENTS!F28</f>
        <v>4502114.99</v>
      </c>
      <c r="E201" s="270">
        <f>INVESTMENTS!F29</f>
        <v>0</v>
      </c>
      <c r="F201" s="270">
        <f>INVESTMENTS!F30</f>
        <v>0</v>
      </c>
      <c r="G201" s="340">
        <f t="shared" si="15"/>
        <v>15453912.12</v>
      </c>
      <c r="H201" s="341"/>
      <c r="I201" s="146"/>
    </row>
    <row r="202" spans="1:8" s="16" customFormat="1" ht="14.25" customHeight="1">
      <c r="A202" s="127"/>
      <c r="C202" s="279"/>
      <c r="D202" s="288"/>
      <c r="E202" s="288"/>
      <c r="F202" s="288"/>
      <c r="G202" s="340" t="str">
        <f t="shared" si="15"/>
        <v> </v>
      </c>
      <c r="H202" s="341"/>
    </row>
    <row r="203" spans="1:9" s="16" customFormat="1" ht="14.25" customHeight="1">
      <c r="A203" s="57" t="s">
        <v>165</v>
      </c>
      <c r="B203" s="13" t="s">
        <v>88</v>
      </c>
      <c r="C203" s="272">
        <f>C199+C201</f>
        <v>-16029.37</v>
      </c>
      <c r="D203" s="272">
        <f>D199+D201</f>
        <v>4916695.38</v>
      </c>
      <c r="E203" s="272">
        <f>E199+E201</f>
        <v>0</v>
      </c>
      <c r="F203" s="272">
        <f>F199+F201</f>
        <v>0</v>
      </c>
      <c r="G203" s="338">
        <f t="shared" si="15"/>
        <v>26899990.07</v>
      </c>
      <c r="H203" s="339"/>
      <c r="I203" s="146"/>
    </row>
    <row r="204" spans="1:8" s="16" customFormat="1" ht="14.25" customHeight="1">
      <c r="A204" s="127"/>
      <c r="C204" s="283"/>
      <c r="D204" s="286"/>
      <c r="E204" s="286"/>
      <c r="F204" s="286"/>
      <c r="G204" s="355" t="str">
        <f t="shared" si="15"/>
        <v> </v>
      </c>
      <c r="H204" s="356"/>
    </row>
    <row r="205" spans="1:9" s="16" customFormat="1" ht="14.25" customHeight="1">
      <c r="A205" s="55" t="s">
        <v>189</v>
      </c>
      <c r="B205" s="12" t="s">
        <v>157</v>
      </c>
      <c r="C205" s="263">
        <v>0</v>
      </c>
      <c r="D205" s="267">
        <v>0</v>
      </c>
      <c r="E205" s="267">
        <v>0</v>
      </c>
      <c r="F205" s="267">
        <v>0</v>
      </c>
      <c r="G205" s="340" t="str">
        <f t="shared" si="15"/>
        <v> </v>
      </c>
      <c r="H205" s="341"/>
      <c r="I205" s="146"/>
    </row>
    <row r="206" spans="1:8" s="16" customFormat="1" ht="14.25" customHeight="1">
      <c r="A206" s="75" t="s">
        <v>190</v>
      </c>
      <c r="C206" s="279"/>
      <c r="D206" s="288"/>
      <c r="E206" s="288"/>
      <c r="F206" s="288"/>
      <c r="G206" s="340" t="str">
        <f t="shared" si="15"/>
        <v> </v>
      </c>
      <c r="H206" s="341"/>
    </row>
    <row r="207" spans="1:9" s="16" customFormat="1" ht="14.25" customHeight="1">
      <c r="A207" s="127"/>
      <c r="C207" s="279"/>
      <c r="D207" s="288"/>
      <c r="E207" s="288"/>
      <c r="F207" s="288"/>
      <c r="G207" s="340" t="str">
        <f t="shared" si="15"/>
        <v> </v>
      </c>
      <c r="H207" s="341"/>
      <c r="I207" s="146"/>
    </row>
    <row r="208" spans="1:8" s="16" customFormat="1" ht="14.25" customHeight="1">
      <c r="A208" s="57" t="s">
        <v>188</v>
      </c>
      <c r="B208" s="13" t="s">
        <v>84</v>
      </c>
      <c r="C208" s="314">
        <v>0</v>
      </c>
      <c r="D208" s="314">
        <v>0</v>
      </c>
      <c r="E208" s="314">
        <v>0</v>
      </c>
      <c r="F208" s="314">
        <v>0</v>
      </c>
      <c r="G208" s="338" t="str">
        <f t="shared" si="15"/>
        <v> </v>
      </c>
      <c r="H208" s="339"/>
    </row>
    <row r="209" spans="1:9" s="16" customFormat="1" ht="14.25" customHeight="1" thickBot="1">
      <c r="A209" s="58" t="s">
        <v>167</v>
      </c>
      <c r="B209" s="74" t="s">
        <v>88</v>
      </c>
      <c r="C209" s="299">
        <f>C203+C205+C208</f>
        <v>-16029.37</v>
      </c>
      <c r="D209" s="299">
        <f>D203+D205+D208</f>
        <v>4916695.38</v>
      </c>
      <c r="E209" s="299">
        <f>E203+E205+E208</f>
        <v>0</v>
      </c>
      <c r="F209" s="299">
        <f>F203+F205+F208</f>
        <v>0</v>
      </c>
      <c r="G209" s="353">
        <f t="shared" si="15"/>
        <v>26899990.07</v>
      </c>
      <c r="H209" s="354"/>
      <c r="I209" s="146"/>
    </row>
    <row r="210" spans="1:8" s="16" customFormat="1" ht="14.25" customHeight="1" thickTop="1">
      <c r="A210" s="81" t="s">
        <v>196</v>
      </c>
      <c r="B210" s="36"/>
      <c r="C210" s="292" t="str">
        <f>IF('CASH RECONC'!C192='CASH REPORT'!C209," ","NOT BALANCED")</f>
        <v> </v>
      </c>
      <c r="D210" s="292" t="str">
        <f>IF('CASH RECONC'!D192='CASH REPORT'!D209," ","NOT BALANCED")</f>
        <v> </v>
      </c>
      <c r="E210" s="292" t="str">
        <f>IF('CASH RECONC'!E192='CASH REPORT'!E209," ","NOT BALANCED")</f>
        <v> </v>
      </c>
      <c r="F210" s="292" t="str">
        <f>IF('CASH RECONC'!F192='CASH REPORT'!F209," ","NOT BALANCED")</f>
        <v> </v>
      </c>
      <c r="G210" s="351" t="str">
        <f t="shared" si="15"/>
        <v> </v>
      </c>
      <c r="H210" s="352"/>
    </row>
    <row r="211" spans="1:9" s="16" customFormat="1" ht="14.25" customHeight="1" thickBot="1">
      <c r="A211" s="133" t="s">
        <v>168</v>
      </c>
      <c r="B211" s="15"/>
      <c r="C211" s="290">
        <v>0</v>
      </c>
      <c r="D211" s="290">
        <v>0</v>
      </c>
      <c r="E211" s="290">
        <v>0</v>
      </c>
      <c r="F211" s="290">
        <v>0</v>
      </c>
      <c r="G211" s="335">
        <f t="shared" si="15"/>
        <v>35737662.83</v>
      </c>
      <c r="H211" s="336"/>
      <c r="I211" s="146"/>
    </row>
    <row r="212" spans="1:7" s="16" customFormat="1" ht="14.25" customHeight="1">
      <c r="A212" s="60"/>
      <c r="C212" s="130"/>
      <c r="D212" s="130"/>
      <c r="E212" s="130"/>
      <c r="F212" s="130"/>
      <c r="G212" s="130"/>
    </row>
    <row r="213" spans="1:9" s="16" customFormat="1" ht="14.25" customHeight="1">
      <c r="A213" s="79" t="s">
        <v>169</v>
      </c>
      <c r="I213" s="146"/>
    </row>
    <row r="214" s="16" customFormat="1" ht="14.25" customHeight="1">
      <c r="A214" s="148"/>
    </row>
    <row r="215" spans="2:9" s="117" customFormat="1" ht="14.25" customHeight="1">
      <c r="B215" s="158"/>
      <c r="C215" s="14"/>
      <c r="E215" s="14"/>
      <c r="F215" s="158"/>
      <c r="I215" s="179"/>
    </row>
    <row r="216" spans="1:8" s="117" customFormat="1" ht="14.25" customHeight="1">
      <c r="A216" s="180" t="str">
        <f>A1</f>
        <v>SCHOOL DISTRICT/CHARTER:   GADSDEN</v>
      </c>
      <c r="B216" s="159"/>
      <c r="C216" s="14"/>
      <c r="E216" s="14"/>
      <c r="G216" s="158" t="s">
        <v>1</v>
      </c>
      <c r="H216" s="180" t="str">
        <f>H1</f>
        <v>DONA ANA</v>
      </c>
    </row>
    <row r="217" spans="3:9" s="117" customFormat="1" ht="14.25" customHeight="1">
      <c r="C217" s="158" t="s">
        <v>197</v>
      </c>
      <c r="D217" s="14"/>
      <c r="E217" s="14"/>
      <c r="G217" s="190" t="str">
        <f>G2</f>
        <v>PED No.:</v>
      </c>
      <c r="H217" s="260" t="str">
        <f>H2</f>
        <v>19</v>
      </c>
      <c r="I217" s="179"/>
    </row>
    <row r="218" spans="3:7" s="117" customFormat="1" ht="14.25" customHeight="1">
      <c r="C218" s="14"/>
      <c r="D218" s="14"/>
      <c r="E218" s="14"/>
      <c r="F218" s="14"/>
      <c r="G218" s="14"/>
    </row>
    <row r="219" spans="1:6" s="117" customFormat="1" ht="14.25" customHeight="1">
      <c r="A219" s="117" t="s">
        <v>199</v>
      </c>
      <c r="B219" s="181" t="s">
        <v>152</v>
      </c>
      <c r="C219" s="181" t="s">
        <v>153</v>
      </c>
      <c r="D219" s="181" t="s">
        <v>154</v>
      </c>
      <c r="E219" s="14"/>
      <c r="F219" s="14"/>
    </row>
    <row r="220" spans="1:6" s="117" customFormat="1" ht="14.25" customHeight="1">
      <c r="A220" s="117" t="s">
        <v>200</v>
      </c>
      <c r="B220" s="182" t="s">
        <v>145</v>
      </c>
      <c r="C220" s="182" t="s">
        <v>152</v>
      </c>
      <c r="D220" s="182" t="s">
        <v>145</v>
      </c>
      <c r="E220" s="183" t="s">
        <v>155</v>
      </c>
      <c r="F220" s="116"/>
    </row>
    <row r="221" spans="1:6" s="117" customFormat="1" ht="14.25" customHeight="1">
      <c r="A221" s="117" t="s">
        <v>201</v>
      </c>
      <c r="B221" s="156"/>
      <c r="C221" s="156"/>
      <c r="D221" s="156"/>
      <c r="E221" s="157"/>
      <c r="F221" s="115"/>
    </row>
    <row r="222" spans="1:7" s="117" customFormat="1" ht="14.25" customHeight="1">
      <c r="A222" s="117" t="s">
        <v>202</v>
      </c>
      <c r="B222" s="325" t="s">
        <v>73</v>
      </c>
      <c r="C222" s="274">
        <v>-2089.03</v>
      </c>
      <c r="D222" s="327"/>
      <c r="E222" s="51" t="s">
        <v>252</v>
      </c>
      <c r="F222" s="51"/>
      <c r="G222" s="118"/>
    </row>
    <row r="223" spans="1:7" s="117" customFormat="1" ht="14.25" customHeight="1">
      <c r="A223" s="184"/>
      <c r="B223" s="325" t="s">
        <v>73</v>
      </c>
      <c r="C223" s="274">
        <v>-818171.87</v>
      </c>
      <c r="D223" s="327"/>
      <c r="E223" s="51" t="s">
        <v>256</v>
      </c>
      <c r="F223" s="51"/>
      <c r="G223" s="118"/>
    </row>
    <row r="224" spans="1:7" s="117" customFormat="1" ht="14.25" customHeight="1">
      <c r="A224" s="184"/>
      <c r="B224" s="325" t="s">
        <v>75</v>
      </c>
      <c r="C224" s="274">
        <v>-1248.96</v>
      </c>
      <c r="D224" s="327"/>
      <c r="E224" s="51" t="s">
        <v>256</v>
      </c>
      <c r="F224" s="51"/>
      <c r="G224" s="118"/>
    </row>
    <row r="225" spans="1:7" s="117" customFormat="1" ht="14.25" customHeight="1">
      <c r="A225" s="184"/>
      <c r="B225" s="325" t="s">
        <v>77</v>
      </c>
      <c r="C225" s="274">
        <v>6990.58</v>
      </c>
      <c r="D225" s="329"/>
      <c r="E225" s="51" t="s">
        <v>256</v>
      </c>
      <c r="F225" s="51"/>
      <c r="G225" s="118"/>
    </row>
    <row r="226" spans="1:7" s="117" customFormat="1" ht="14.25" customHeight="1">
      <c r="A226" s="184"/>
      <c r="B226" s="325" t="s">
        <v>120</v>
      </c>
      <c r="C226" s="274">
        <v>-269041.31</v>
      </c>
      <c r="D226" s="330">
        <v>70000</v>
      </c>
      <c r="E226" s="51" t="s">
        <v>259</v>
      </c>
      <c r="F226" s="51"/>
      <c r="G226" s="118"/>
    </row>
    <row r="227" spans="1:7" s="117" customFormat="1" ht="14.25" customHeight="1">
      <c r="A227" s="184"/>
      <c r="B227" s="325" t="s">
        <v>121</v>
      </c>
      <c r="C227" s="274">
        <v>-98013.19</v>
      </c>
      <c r="D227" s="330"/>
      <c r="E227" s="51" t="s">
        <v>256</v>
      </c>
      <c r="F227" s="51"/>
      <c r="G227" s="118"/>
    </row>
    <row r="228" spans="1:7" s="117" customFormat="1" ht="14.25" customHeight="1">
      <c r="A228" s="184"/>
      <c r="B228" s="325" t="s">
        <v>122</v>
      </c>
      <c r="C228" s="274">
        <v>-7721.14</v>
      </c>
      <c r="D228" s="327"/>
      <c r="E228" s="51" t="s">
        <v>256</v>
      </c>
      <c r="F228" s="51"/>
      <c r="G228" s="118"/>
    </row>
    <row r="229" spans="1:7" s="117" customFormat="1" ht="14.25" customHeight="1">
      <c r="A229" s="184"/>
      <c r="B229" s="325"/>
      <c r="C229" s="274">
        <v>0</v>
      </c>
      <c r="D229" s="327"/>
      <c r="E229" s="51"/>
      <c r="F229" s="51"/>
      <c r="G229" s="118"/>
    </row>
    <row r="230" spans="1:7" s="117" customFormat="1" ht="14.25" customHeight="1">
      <c r="A230" s="184"/>
      <c r="B230" s="325"/>
      <c r="C230" s="274">
        <v>0</v>
      </c>
      <c r="D230" s="327"/>
      <c r="E230" s="51"/>
      <c r="F230" s="51"/>
      <c r="G230" s="118"/>
    </row>
    <row r="231" spans="1:7" s="117" customFormat="1" ht="14.25" customHeight="1">
      <c r="A231" s="184"/>
      <c r="B231" s="325"/>
      <c r="C231" s="274">
        <v>0</v>
      </c>
      <c r="D231" s="327"/>
      <c r="E231" s="51"/>
      <c r="F231" s="51"/>
      <c r="G231" s="118"/>
    </row>
    <row r="232" spans="1:7" s="117" customFormat="1" ht="14.25" customHeight="1">
      <c r="A232" s="184"/>
      <c r="B232" s="325"/>
      <c r="C232" s="274">
        <v>0</v>
      </c>
      <c r="D232" s="327"/>
      <c r="E232" s="51"/>
      <c r="F232" s="51"/>
      <c r="G232" s="118"/>
    </row>
    <row r="233" spans="1:7" s="117" customFormat="1" ht="14.25" customHeight="1">
      <c r="A233" s="184"/>
      <c r="B233" s="325"/>
      <c r="C233" s="274">
        <v>0</v>
      </c>
      <c r="D233" s="327"/>
      <c r="E233" s="51"/>
      <c r="F233" s="51"/>
      <c r="G233" s="118"/>
    </row>
    <row r="234" spans="1:7" s="117" customFormat="1" ht="14.25" customHeight="1">
      <c r="A234" s="184"/>
      <c r="B234" s="325"/>
      <c r="C234" s="274">
        <v>0</v>
      </c>
      <c r="D234" s="327"/>
      <c r="E234" s="51"/>
      <c r="F234" s="51"/>
      <c r="G234" s="118"/>
    </row>
    <row r="235" spans="1:7" s="117" customFormat="1" ht="14.25" customHeight="1">
      <c r="A235" s="184"/>
      <c r="B235" s="325"/>
      <c r="C235" s="274">
        <v>0</v>
      </c>
      <c r="D235" s="327"/>
      <c r="E235" s="51"/>
      <c r="F235" s="51"/>
      <c r="G235" s="118"/>
    </row>
    <row r="236" spans="1:7" s="117" customFormat="1" ht="14.25" customHeight="1">
      <c r="A236" s="184"/>
      <c r="B236" s="325"/>
      <c r="C236" s="274">
        <v>0</v>
      </c>
      <c r="D236" s="327"/>
      <c r="E236" s="51"/>
      <c r="F236" s="51"/>
      <c r="G236" s="118"/>
    </row>
    <row r="237" spans="1:7" s="117" customFormat="1" ht="14.25" customHeight="1">
      <c r="A237" s="184"/>
      <c r="B237" s="325"/>
      <c r="C237" s="274">
        <v>0</v>
      </c>
      <c r="D237" s="327"/>
      <c r="E237" s="51"/>
      <c r="F237" s="51"/>
      <c r="G237" s="118"/>
    </row>
    <row r="238" spans="1:7" s="117" customFormat="1" ht="14.25" customHeight="1">
      <c r="A238" s="184"/>
      <c r="B238" s="325"/>
      <c r="C238" s="274">
        <v>0</v>
      </c>
      <c r="D238" s="327"/>
      <c r="E238" s="51"/>
      <c r="F238" s="51"/>
      <c r="G238" s="118"/>
    </row>
    <row r="239" spans="1:7" s="117" customFormat="1" ht="14.25" customHeight="1">
      <c r="A239" s="184"/>
      <c r="B239" s="326"/>
      <c r="C239" s="274">
        <v>0</v>
      </c>
      <c r="D239" s="328"/>
      <c r="E239" s="118"/>
      <c r="F239" s="118"/>
      <c r="G239" s="118"/>
    </row>
    <row r="240" spans="1:7" s="117" customFormat="1" ht="14.25" customHeight="1">
      <c r="A240" s="184"/>
      <c r="B240" s="326"/>
      <c r="C240" s="274">
        <v>0</v>
      </c>
      <c r="D240" s="328"/>
      <c r="E240" s="118"/>
      <c r="F240" s="118"/>
      <c r="G240" s="118"/>
    </row>
    <row r="241" spans="1:7" s="117" customFormat="1" ht="14.25" customHeight="1">
      <c r="A241" s="184"/>
      <c r="B241" s="326"/>
      <c r="C241" s="274">
        <v>0</v>
      </c>
      <c r="D241" s="328"/>
      <c r="E241" s="118"/>
      <c r="F241" s="118"/>
      <c r="G241" s="118"/>
    </row>
    <row r="242" spans="1:7" s="117" customFormat="1" ht="14.25" customHeight="1">
      <c r="A242" s="184"/>
      <c r="B242" s="326"/>
      <c r="C242" s="274">
        <v>0</v>
      </c>
      <c r="D242" s="328"/>
      <c r="E242" s="118"/>
      <c r="F242" s="118"/>
      <c r="G242" s="118"/>
    </row>
    <row r="243" spans="1:7" s="117" customFormat="1" ht="14.25" customHeight="1">
      <c r="A243" s="184"/>
      <c r="B243" s="326"/>
      <c r="C243" s="274">
        <v>0</v>
      </c>
      <c r="D243" s="328"/>
      <c r="E243" s="118"/>
      <c r="F243" s="118"/>
      <c r="G243" s="118"/>
    </row>
    <row r="244" spans="1:7" s="117" customFormat="1" ht="14.25" customHeight="1">
      <c r="A244" s="184"/>
      <c r="B244" s="326"/>
      <c r="C244" s="274">
        <v>0</v>
      </c>
      <c r="D244" s="328"/>
      <c r="E244" s="118"/>
      <c r="F244" s="118"/>
      <c r="G244" s="118"/>
    </row>
    <row r="245" spans="1:7" s="117" customFormat="1" ht="14.25" customHeight="1">
      <c r="A245" s="184"/>
      <c r="B245" s="326"/>
      <c r="C245" s="274">
        <v>0</v>
      </c>
      <c r="D245" s="328"/>
      <c r="E245" s="118"/>
      <c r="F245" s="118"/>
      <c r="G245" s="118"/>
    </row>
    <row r="246" spans="1:7" s="117" customFormat="1" ht="14.25" customHeight="1">
      <c r="A246" s="184"/>
      <c r="B246" s="118"/>
      <c r="C246" s="274">
        <v>0</v>
      </c>
      <c r="D246" s="300"/>
      <c r="E246" s="118"/>
      <c r="F246" s="118"/>
      <c r="G246" s="118"/>
    </row>
    <row r="247" spans="1:4" s="16" customFormat="1" ht="14.25" customHeight="1">
      <c r="A247" s="148"/>
      <c r="C247" s="301"/>
      <c r="D247" s="301"/>
    </row>
    <row r="248" spans="1:4" s="16" customFormat="1" ht="14.25" customHeight="1">
      <c r="A248" s="148"/>
      <c r="C248" s="301"/>
      <c r="D248" s="301"/>
    </row>
    <row r="249" spans="1:4" s="16" customFormat="1" ht="14.25" customHeight="1">
      <c r="A249" s="148"/>
      <c r="C249" s="301"/>
      <c r="D249" s="301"/>
    </row>
    <row r="250" spans="1:4" s="16" customFormat="1" ht="14.25" customHeight="1">
      <c r="A250" s="148"/>
      <c r="C250" s="301"/>
      <c r="D250" s="301"/>
    </row>
    <row r="251" spans="1:4" s="16" customFormat="1" ht="14.25" customHeight="1">
      <c r="A251" s="148"/>
      <c r="C251" s="301"/>
      <c r="D251" s="301"/>
    </row>
    <row r="252" spans="1:4" s="16" customFormat="1" ht="14.25" customHeight="1">
      <c r="A252" s="148"/>
      <c r="C252" s="301"/>
      <c r="D252" s="301"/>
    </row>
    <row r="253" s="16" customFormat="1" ht="14.25" customHeight="1">
      <c r="A253" s="148"/>
    </row>
    <row r="254" s="16" customFormat="1" ht="14.25" customHeight="1">
      <c r="A254" s="148"/>
    </row>
    <row r="255" s="16" customFormat="1" ht="14.25" customHeight="1">
      <c r="A255" s="148"/>
    </row>
    <row r="256" s="16" customFormat="1" ht="14.25" customHeight="1">
      <c r="A256" s="148"/>
    </row>
    <row r="257" s="16" customFormat="1" ht="14.25" customHeight="1">
      <c r="A257" s="148"/>
    </row>
    <row r="258" s="16" customFormat="1" ht="14.25" customHeight="1">
      <c r="A258" s="148"/>
    </row>
    <row r="259" s="16" customFormat="1" ht="14.25" customHeight="1">
      <c r="A259" s="148"/>
    </row>
    <row r="260" s="16" customFormat="1" ht="14.25" customHeight="1">
      <c r="A260" s="148"/>
    </row>
    <row r="261" s="16" customFormat="1" ht="14.25" customHeight="1">
      <c r="A261" s="148"/>
    </row>
    <row r="262" s="16" customFormat="1" ht="14.25" customHeight="1">
      <c r="A262" s="148"/>
    </row>
    <row r="263" s="16" customFormat="1" ht="14.25" customHeight="1">
      <c r="A263" s="148"/>
    </row>
    <row r="264" s="16" customFormat="1" ht="14.25" customHeight="1">
      <c r="A264" s="148"/>
    </row>
    <row r="265" s="16" customFormat="1" ht="14.25" customHeight="1">
      <c r="A265" s="148"/>
    </row>
    <row r="266" s="16" customFormat="1" ht="14.25" customHeight="1">
      <c r="A266" s="148"/>
    </row>
    <row r="267" s="16" customFormat="1" ht="14.25" customHeight="1">
      <c r="A267" s="148"/>
    </row>
    <row r="268" s="16" customFormat="1" ht="14.25" customHeight="1">
      <c r="A268" s="148"/>
    </row>
    <row r="269" s="16" customFormat="1" ht="14.25" customHeight="1">
      <c r="A269" s="148"/>
    </row>
    <row r="270" s="16" customFormat="1" ht="14.25" customHeight="1">
      <c r="A270" s="148"/>
    </row>
    <row r="271" s="16" customFormat="1" ht="14.25" customHeight="1">
      <c r="A271" s="148"/>
    </row>
    <row r="272" s="16" customFormat="1" ht="14.25" customHeight="1">
      <c r="A272" s="148"/>
    </row>
    <row r="273" s="16" customFormat="1" ht="14.25" customHeight="1">
      <c r="A273" s="148"/>
    </row>
    <row r="274" s="16" customFormat="1" ht="14.25" customHeight="1">
      <c r="A274" s="148"/>
    </row>
    <row r="275" s="16" customFormat="1" ht="14.25" customHeight="1">
      <c r="A275" s="148"/>
    </row>
    <row r="276" s="16" customFormat="1" ht="14.25" customHeight="1">
      <c r="A276" s="148"/>
    </row>
    <row r="277" s="16" customFormat="1" ht="14.25" customHeight="1">
      <c r="A277" s="148"/>
    </row>
  </sheetData>
  <mergeCells count="47">
    <mergeCell ref="G177:H177"/>
    <mergeCell ref="A52:A53"/>
    <mergeCell ref="G166:H166"/>
    <mergeCell ref="G167:H167"/>
    <mergeCell ref="G169:H169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168:H168"/>
    <mergeCell ref="G170:H170"/>
    <mergeCell ref="G171:H171"/>
    <mergeCell ref="G172:H172"/>
    <mergeCell ref="G173:H173"/>
    <mergeCell ref="G174:H174"/>
    <mergeCell ref="G175:H175"/>
    <mergeCell ref="G176:H176"/>
  </mergeCells>
  <printOptions horizontalCentered="1"/>
  <pageMargins left="0" right="0" top="0.65" bottom="0.4" header="0.36" footer="0.25"/>
  <pageSetup horizontalDpi="600" verticalDpi="600" orientation="landscape" scale="64" r:id="rId2"/>
  <headerFooter alignWithMargins="0">
    <oddHeader>&amp;L&amp;9&amp;D &amp;T&amp;C&amp;"Courier,Bold"&amp;11CASH REPORT FOR THE 2004-05 FISCAL YEAR
&amp;RPED 920F
</oddHeader>
    <oddFooter>&amp;CPage &amp;P</oddFooter>
  </headerFooter>
  <rowBreaks count="4" manualBreakCount="4">
    <brk id="58" max="8" man="1"/>
    <brk id="110" max="8" man="1"/>
    <brk id="162" max="8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jreyes</cp:lastModifiedBy>
  <cp:lastPrinted>2005-09-27T02:59:12Z</cp:lastPrinted>
  <dcterms:created xsi:type="dcterms:W3CDTF">1997-06-26T21:39:47Z</dcterms:created>
  <dcterms:modified xsi:type="dcterms:W3CDTF">2005-10-03T02:01:03Z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-265122785</vt:i4>
  </property>
  <property fmtid="{D5CDD505-2E9C-101B-9397-08002B2CF9AE}" pid="3" name="_EmailSubject">
    <vt:lpwstr>Qtr Report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1212403771</vt:i4>
  </property>
  <property fmtid="{D5CDD505-2E9C-101B-9397-08002B2CF9AE}" pid="7" name="_ReviewingToolsShownOnce">
    <vt:lpwstr/>
  </property>
</Properties>
</file>