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0" yWindow="65521" windowWidth="5595" windowHeight="5715" tabRatio="652" activeTab="0"/>
  </bookViews>
  <sheets>
    <sheet name="BLANK" sheetId="1" r:id="rId1"/>
    <sheet name="Comparison " sheetId="2" r:id="rId2"/>
  </sheets>
  <definedNames>
    <definedName name="_xlnm.Print_Area" localSheetId="0">'BLANK'!$A$1:$I$190</definedName>
  </definedNames>
  <calcPr fullCalcOnLoad="1"/>
</workbook>
</file>

<file path=xl/comments1.xml><?xml version="1.0" encoding="utf-8"?>
<comments xmlns="http://schemas.openxmlformats.org/spreadsheetml/2006/main">
  <authors>
    <author>School Budget</author>
  </authors>
  <commentList>
    <comment ref="I132" authorId="0">
      <text>
        <r>
          <rPr>
            <b/>
            <sz val="8"/>
            <rFont val="Tahoma"/>
            <family val="0"/>
          </rPr>
          <t>School Budget:</t>
        </r>
        <r>
          <rPr>
            <sz val="8"/>
            <rFont val="Tahoma"/>
            <family val="0"/>
          </rPr>
          <t xml:space="preserve">
2% Retained is only for CHARTERS; must enter a "Y" in box above for formula to work</t>
        </r>
      </text>
    </comment>
    <comment ref="I27" authorId="0">
      <text>
        <r>
          <rPr>
            <b/>
            <sz val="8"/>
            <rFont val="Tahoma"/>
            <family val="0"/>
          </rPr>
          <t>School Budget:</t>
        </r>
        <r>
          <rPr>
            <sz val="8"/>
            <rFont val="Tahoma"/>
            <family val="0"/>
          </rPr>
          <t xml:space="preserve">
Leave blank if Charter School students are included in above grade level breakdown</t>
        </r>
      </text>
    </comment>
    <comment ref="E101" authorId="0">
      <text>
        <r>
          <rPr>
            <b/>
            <sz val="8"/>
            <rFont val="Tahoma"/>
            <family val="0"/>
          </rPr>
          <t xml:space="preserve">School Budget: </t>
        </r>
        <r>
          <rPr>
            <sz val="8"/>
            <rFont val="Tahoma"/>
            <family val="0"/>
          </rPr>
          <t>This number s/b the number from the "Grade FTE Total" column from the CY 40th Day report</t>
        </r>
      </text>
    </comment>
    <comment ref="D66" authorId="0">
      <text>
        <r>
          <rPr>
            <b/>
            <sz val="8"/>
            <rFont val="Tahoma"/>
            <family val="0"/>
          </rPr>
          <t>School Budget:</t>
        </r>
        <r>
          <rPr>
            <sz val="8"/>
            <rFont val="Tahoma"/>
            <family val="0"/>
          </rPr>
          <t xml:space="preserve">
Factors cheange from year to year;
FY04 = 0.0166
FY05 = 0.0332
FY05 and beyond = 0.05</t>
        </r>
      </text>
    </comment>
    <comment ref="I101" authorId="0">
      <text>
        <r>
          <rPr>
            <b/>
            <sz val="8"/>
            <rFont val="Tahoma"/>
            <family val="0"/>
          </rPr>
          <t>School Budget:</t>
        </r>
        <r>
          <rPr>
            <sz val="8"/>
            <rFont val="Tahoma"/>
            <family val="0"/>
          </rPr>
          <t xml:space="preserve">
Only for the 40th Day SEG Adjustment calculation!
</t>
        </r>
      </text>
    </comment>
  </commentList>
</comments>
</file>

<file path=xl/sharedStrings.xml><?xml version="1.0" encoding="utf-8"?>
<sst xmlns="http://schemas.openxmlformats.org/spreadsheetml/2006/main" count="215" uniqueCount="185">
  <si>
    <t xml:space="preserve"> </t>
  </si>
  <si>
    <t>MEM</t>
  </si>
  <si>
    <t>C &amp;</t>
  </si>
  <si>
    <t>D &amp;</t>
  </si>
  <si>
    <t>GRADE</t>
  </si>
  <si>
    <t>3Y DD</t>
  </si>
  <si>
    <t>4Y DD</t>
  </si>
  <si>
    <t>C-GIFTED</t>
  </si>
  <si>
    <t>D-GIFTED</t>
  </si>
  <si>
    <t>*BASIC</t>
  </si>
  <si>
    <t>TOTAL</t>
  </si>
  <si>
    <t>Basic Program:</t>
  </si>
  <si>
    <t>Grade  1</t>
  </si>
  <si>
    <t>Grade  2</t>
  </si>
  <si>
    <t>Grade  3</t>
  </si>
  <si>
    <t>Grade  4</t>
  </si>
  <si>
    <t>Grade  5</t>
  </si>
  <si>
    <t>Grade  6</t>
  </si>
  <si>
    <t>Grade  7</t>
  </si>
  <si>
    <t>Grade  8</t>
  </si>
  <si>
    <t>Grade  9</t>
  </si>
  <si>
    <t>Grade 10</t>
  </si>
  <si>
    <t>Grade 11</t>
  </si>
  <si>
    <t>Grade 12</t>
  </si>
  <si>
    <t>ECE FTE</t>
  </si>
  <si>
    <t>*INCLUDE STUDENTS RECEIVING A/B SERVICES</t>
  </si>
  <si>
    <t>TOTAL GRADES 1-12</t>
  </si>
  <si>
    <t>TOTAL MEM</t>
  </si>
  <si>
    <t>ECE</t>
  </si>
  <si>
    <t>COST</t>
  </si>
  <si>
    <t>PROGRAM</t>
  </si>
  <si>
    <t>PROGRAM COST</t>
  </si>
  <si>
    <t>FTE</t>
  </si>
  <si>
    <t>INDEX</t>
  </si>
  <si>
    <t>UNITS</t>
  </si>
  <si>
    <t>Special Education:</t>
  </si>
  <si>
    <t>C &amp; C-Gifted</t>
  </si>
  <si>
    <t>D &amp; D-Gifted</t>
  </si>
  <si>
    <t>3 Yr. DD</t>
  </si>
  <si>
    <t>4 Yr. DD</t>
  </si>
  <si>
    <t>A/B MEM (Reg/Gifted)</t>
  </si>
  <si>
    <t>HOURS</t>
  </si>
  <si>
    <t>Total Bilingual</t>
  </si>
  <si>
    <t>(May not total more than the no. of students in grades K-12.)</t>
  </si>
  <si>
    <t>TOTAL MEMBERSHIP PROGRAM UNITS</t>
  </si>
  <si>
    <t>ADJUSTED PROGRAM UNITS</t>
  </si>
  <si>
    <t xml:space="preserve">Size Adjustment Units </t>
  </si>
  <si>
    <t>Elementary/Mid/Jr. High</t>
  </si>
  <si>
    <t>Senior High</t>
  </si>
  <si>
    <t>At-Risk Units</t>
  </si>
  <si>
    <t>Growth Units</t>
  </si>
  <si>
    <t>GRAND TOTAL UNITS</t>
  </si>
  <si>
    <t>× Unit Value</t>
  </si>
  <si>
    <t>Noncategorical Revenue Credits:</t>
  </si>
  <si>
    <t>Federal Impact Aid (8603)</t>
  </si>
  <si>
    <t>Federal Forest Reserve (8604)</t>
  </si>
  <si>
    <t>STATE EQUALIZATION GUARANTEE</t>
  </si>
  <si>
    <t>SDE 910B-6N</t>
  </si>
  <si>
    <t>ELEMENTARY/MID SCHOOL/JUNIOR HIGH</t>
  </si>
  <si>
    <t>((200 – MEM)/200) × (1.0 × MEM) = UNITS</t>
  </si>
  <si>
    <t>SCHOOL NAME</t>
  </si>
  <si>
    <t>CODE</t>
  </si>
  <si>
    <t>GRADES</t>
  </si>
  <si>
    <t>TOTAL ELEMENTARY/MID SCHOOL/JUNIOR HIGH UNITS</t>
  </si>
  <si>
    <t>SENIOR HIGH SCHOOL</t>
  </si>
  <si>
    <t>TOTAL SENIOR HIGH SCHOOL UNITS</t>
  </si>
  <si>
    <t>RURAL ISOLATION</t>
  </si>
  <si>
    <t>(4,000  –  (MEM / Eligible Senior High Schools))  ×  0.5  =  UNITS</t>
  </si>
  <si>
    <t>Enter the number of approved senior high schools not eligible for senior high size units:</t>
  </si>
  <si>
    <t>NEW DISTRICT ADJUSTMENT</t>
  </si>
  <si>
    <t>If district is eligible, enter    YES     in the appropriate box.</t>
  </si>
  <si>
    <t>YES?</t>
  </si>
  <si>
    <t>a.  NEWLY CREATED SCHOOL DISTRICT</t>
  </si>
  <si>
    <t>(MEM for current year) × .147 = UNITS</t>
  </si>
  <si>
    <t>b.  DISTRICT WHOSE MEMBERSHIP DECREASES AS A RESULT OF A NEWLY CREATED DISTRICT</t>
  </si>
  <si>
    <t>(MEM for prior year – MEM for current year) × .17 = UNITS</t>
  </si>
  <si>
    <r>
      <t xml:space="preserve">((200 – MEM)/200) × (2.0 × MEM) = UNITS    </t>
    </r>
    <r>
      <rPr>
        <i/>
        <sz val="8"/>
        <rFont val="Arial"/>
        <family val="0"/>
      </rPr>
      <t>or</t>
    </r>
    <r>
      <rPr>
        <sz val="8"/>
        <rFont val="Arial"/>
        <family val="2"/>
      </rPr>
      <t xml:space="preserve">    ((400 – MEM)/400) × (1.6 × MEM) = UNITS</t>
    </r>
  </si>
  <si>
    <t>* Includes Vocational Weighting</t>
  </si>
  <si>
    <t>Basic Program (Grade Total):</t>
  </si>
  <si>
    <t xml:space="preserve">SIZE ADJUSTMENT UNITS: </t>
  </si>
  <si>
    <t>Totals</t>
  </si>
  <si>
    <t>SUBTOTAL MEM</t>
  </si>
  <si>
    <r>
      <t>Enter the number of approved senior high schools</t>
    </r>
    <r>
      <rPr>
        <i/>
        <sz val="8"/>
        <rFont val="Arial"/>
        <family val="2"/>
      </rPr>
      <t xml:space="preserve"> (exclude alternative schools):</t>
    </r>
  </si>
  <si>
    <t>$ Value</t>
  </si>
  <si>
    <r>
      <t>COMPARISON</t>
    </r>
    <r>
      <rPr>
        <sz val="8"/>
        <rFont val="Arial"/>
        <family val="2"/>
      </rPr>
      <t>: Which of the above $ is greater?</t>
    </r>
  </si>
  <si>
    <t>School Size Adjustment Units</t>
  </si>
  <si>
    <t>District Size Adjustment Units</t>
  </si>
  <si>
    <t>Kindergarten Program:</t>
  </si>
  <si>
    <t>FDK</t>
  </si>
  <si>
    <t>Special Education Units</t>
  </si>
  <si>
    <t>Kindergarten</t>
  </si>
  <si>
    <t>Basic Program Units</t>
  </si>
  <si>
    <t>ECE, ECE-New, and FDK</t>
  </si>
  <si>
    <t>Grade  7  *</t>
  </si>
  <si>
    <t>Grade  8  *</t>
  </si>
  <si>
    <t>Grade  9  *</t>
  </si>
  <si>
    <t>Grade  10  *</t>
  </si>
  <si>
    <t>Grade  11  *</t>
  </si>
  <si>
    <t>Grade  12  *</t>
  </si>
  <si>
    <t>Kindergarten Units</t>
  </si>
  <si>
    <t xml:space="preserve"> than 200.</t>
  </si>
  <si>
    <t>List each school with a projected MEM (Basic 1-9 and Operational Fund Early Childhood FTE excluding Special Ed.) of less</t>
  </si>
  <si>
    <t xml:space="preserve">the formula which yields the most units):  </t>
  </si>
  <si>
    <r>
      <t xml:space="preserve">List each school with a projected MEM </t>
    </r>
    <r>
      <rPr>
        <i/>
        <sz val="8"/>
        <rFont val="Arial"/>
        <family val="2"/>
      </rPr>
      <t>(Basic 7-12 excluding Sp. Ed.)</t>
    </r>
    <r>
      <rPr>
        <sz val="8"/>
        <rFont val="Arial"/>
        <family val="2"/>
      </rPr>
      <t xml:space="preserve"> of less than 400 </t>
    </r>
    <r>
      <rPr>
        <i/>
        <sz val="8"/>
        <rFont val="Arial"/>
        <family val="2"/>
      </rPr>
      <t>(program units will be computed using</t>
    </r>
  </si>
  <si>
    <t xml:space="preserve">Based on district MEM (Basic 1-12, Special Education C and D, Non-Profit and Operational Fund Childhood FTE), a district is </t>
  </si>
  <si>
    <t>eligible for units if it has a MEM greater than 10,000 with a ratio of MEM to senior high schools less than 4,000:1.</t>
  </si>
  <si>
    <r>
      <t>Less</t>
    </r>
    <r>
      <rPr>
        <sz val="8"/>
        <rFont val="Arial"/>
        <family val="2"/>
      </rPr>
      <t>: 75% of Non-Cat Revenue  Credits</t>
    </r>
  </si>
  <si>
    <t>Other Credits:</t>
  </si>
  <si>
    <t>Other Misc Credits</t>
  </si>
  <si>
    <t>Total Other Credits</t>
  </si>
  <si>
    <t>Rural Isolation Units</t>
  </si>
  <si>
    <t>90% of 2000-01 at-risk dollars:</t>
  </si>
  <si>
    <t>New District Adjustment Units</t>
  </si>
  <si>
    <t>Subtotal Membership Program Units:</t>
  </si>
  <si>
    <t>Subtotal Special Ed Student Program Units:</t>
  </si>
  <si>
    <t>Special Ed Ancillary Program Units:</t>
  </si>
  <si>
    <t>Bilingual Program Units:</t>
  </si>
  <si>
    <t>Total Membership Program Units:</t>
  </si>
  <si>
    <t>T and E Index</t>
  </si>
  <si>
    <t>Adjusted Program Units</t>
  </si>
  <si>
    <t>Elem Jr High Size:</t>
  </si>
  <si>
    <t>Senior High Size:</t>
  </si>
  <si>
    <t>Rural Isolation:</t>
  </si>
  <si>
    <t>Unit Value:</t>
  </si>
  <si>
    <t>Program Cost:</t>
  </si>
  <si>
    <t>Non-Categorical Credits:</t>
  </si>
  <si>
    <t>State Equalization Guarantee:</t>
  </si>
  <si>
    <t>District Size Units:</t>
  </si>
  <si>
    <t>At-risk Units:</t>
  </si>
  <si>
    <t>Growth Units:</t>
  </si>
  <si>
    <t>Total Program Units:</t>
  </si>
  <si>
    <t>Save Harmless Units:</t>
  </si>
  <si>
    <t>Grand Total Units:</t>
  </si>
  <si>
    <t>N</t>
  </si>
  <si>
    <t xml:space="preserve">MINUS:  2% Retained </t>
  </si>
  <si>
    <t>Factor</t>
  </si>
  <si>
    <t>Bilingual Units</t>
  </si>
  <si>
    <t>Fine Arts Program Units</t>
  </si>
  <si>
    <t>Compared with</t>
  </si>
  <si>
    <t>ADS Report</t>
  </si>
  <si>
    <t>910B5</t>
  </si>
  <si>
    <t>Description of</t>
  </si>
  <si>
    <t>Unit Categories</t>
  </si>
  <si>
    <t xml:space="preserve">Fine Arts Program </t>
  </si>
  <si>
    <t>National-Certified Teacher Units</t>
  </si>
  <si>
    <t>At-risk index</t>
  </si>
  <si>
    <t>Other Credits/Adjustments:</t>
  </si>
  <si>
    <r>
      <t>Less</t>
    </r>
    <r>
      <rPr>
        <sz val="8"/>
        <rFont val="Arial"/>
        <family val="2"/>
      </rPr>
      <t>: Other Credits/Adjustments</t>
    </r>
  </si>
  <si>
    <t>Fine Arts Program:</t>
  </si>
  <si>
    <t>Bilingual Program:</t>
  </si>
  <si>
    <t>TOTAL Ancillary  FTE</t>
  </si>
  <si>
    <t>National Board Certified Teachers</t>
  </si>
  <si>
    <t>National Board Certified Teachers Units:</t>
  </si>
  <si>
    <t>At Risk Units</t>
  </si>
  <si>
    <t>Add'l At-Risk Dollars</t>
  </si>
  <si>
    <t>FDK - New</t>
  </si>
  <si>
    <r>
      <t xml:space="preserve">District Size </t>
    </r>
    <r>
      <rPr>
        <i/>
        <sz val="8"/>
        <rFont val="Arial"/>
        <family val="2"/>
      </rPr>
      <t xml:space="preserve"> </t>
    </r>
    <r>
      <rPr>
        <i/>
        <sz val="7"/>
        <rFont val="Arial"/>
        <family val="2"/>
      </rPr>
      <t xml:space="preserve"> (DISTRICTS ONLY!)</t>
    </r>
  </si>
  <si>
    <t>Adjustment to Program Cost for At-Risk</t>
  </si>
  <si>
    <t>ECE / KN</t>
  </si>
  <si>
    <t>CRITICAL DATA</t>
  </si>
  <si>
    <t>$10 per MEM calculation:</t>
  </si>
  <si>
    <t>Rounding Adjustment</t>
  </si>
  <si>
    <t>Is this a Charter School?</t>
  </si>
  <si>
    <t>Is this for the 40th Day?</t>
  </si>
  <si>
    <t>TOTAL PROGRAM UNITS</t>
  </si>
  <si>
    <t>40th Day Calculation</t>
  </si>
  <si>
    <t>Save Harmless Units</t>
  </si>
  <si>
    <t>Tax Levy (8101, 8103, 8104)</t>
  </si>
  <si>
    <t>GROWTH UNITS</t>
  </si>
  <si>
    <t>SAVE-HARMLESS UNITS</t>
  </si>
  <si>
    <t>Energy Efficiency</t>
  </si>
  <si>
    <t>Cash Balance Credit</t>
  </si>
  <si>
    <t>Total Non-Cat Rev Credits</t>
  </si>
  <si>
    <t xml:space="preserve">Cash Balance Credit: </t>
  </si>
  <si>
    <r>
      <t xml:space="preserve">T &amp; E Index </t>
    </r>
    <r>
      <rPr>
        <i/>
        <sz val="8"/>
        <rFont val="Arial"/>
        <family val="2"/>
      </rPr>
      <t xml:space="preserve"> (Oct 2003) </t>
    </r>
  </si>
  <si>
    <t>2003-04:</t>
  </si>
  <si>
    <t>2003-04 Actual 40th Day MEM:</t>
  </si>
  <si>
    <t>DO NOT ENTER DATA HERE FOR FY 2004-2005</t>
  </si>
  <si>
    <t>2004-05 Operating Budget Calculation</t>
  </si>
  <si>
    <t>40D cal. takes ACTUAL 40th-Day and compares to 2003-04 average</t>
  </si>
  <si>
    <t>Takes Prior Year 40th-Day and compares to Currect Year 40th-Day</t>
  </si>
  <si>
    <t>Op-Bud takes PROJECTED 40th-Day and compares to average</t>
  </si>
  <si>
    <t>2004-05 Actual 40th Day MEM:</t>
  </si>
  <si>
    <t>2004-05 Projected MEM (Growth):</t>
  </si>
  <si>
    <t>Gadsden</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</si>
</sst>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hh:mm:ss\ AM/PM_)"/>
    <numFmt numFmtId="166" formatCode="0.0_)"/>
    <numFmt numFmtId="167" formatCode="0.000_)"/>
    <numFmt numFmtId="168" formatCode="#,##0.0_);\(#,##0.0\)"/>
    <numFmt numFmtId="169" formatCode="#,##0.000_);\(#,##0.000\)"/>
    <numFmt numFmtId="170" formatCode="0.00_)"/>
    <numFmt numFmtId="171" formatCode="0_)"/>
    <numFmt numFmtId="172" formatCode="#,##0.0_);[Red]\(#,##0.0\)"/>
    <numFmt numFmtId="173" formatCode="#,##0.000_);[Red]\(#,##0.000\)"/>
    <numFmt numFmtId="174" formatCode="#,##0.000000000_);[Red]\(#,##0.000000000\)"/>
    <numFmt numFmtId="175" formatCode="#,##0.0000_);[Red]\(#,##0.0000\)"/>
    <numFmt numFmtId="176" formatCode="#,##0.00000_);[Red]\(#,##0.00000\)"/>
    <numFmt numFmtId="177" formatCode="#,##0.000000_);[Red]\(#,##0.000000\)"/>
    <numFmt numFmtId="178" formatCode="#,##0.0000000_);[Red]\(#,##0.0000000\)"/>
    <numFmt numFmtId="179" formatCode="#,##0.00000000_);[Red]\(#,##0.00000000\)"/>
    <numFmt numFmtId="180" formatCode="#,##0.0000000000_);[Red]\(#,##0.0000000000\)"/>
    <numFmt numFmtId="181" formatCode="&quot;$&quot;#,##0.000_);[Red]\(&quot;$&quot;#,##0.000\)"/>
    <numFmt numFmtId="182" formatCode="&quot;$&quot;#,##0.0000_);[Red]\(&quot;$&quot;#,##0.0000\)"/>
    <numFmt numFmtId="183" formatCode="&quot;$&quot;#,##0.0_);[Red]\(&quot;$&quot;#,##0.0\)"/>
    <numFmt numFmtId="184" formatCode="\-&quot;$&quot;#,##0.00_);[Red]\(&quot;$&quot;#,##0.00\)"/>
    <numFmt numFmtId="185" formatCode="0.0"/>
    <numFmt numFmtId="186" formatCode="#,##0.0"/>
    <numFmt numFmtId="187" formatCode="&quot;$&quot;#,##0.00"/>
    <numFmt numFmtId="188" formatCode="0.0%"/>
    <numFmt numFmtId="189" formatCode="0.0000_)"/>
    <numFmt numFmtId="190" formatCode="0.000"/>
    <numFmt numFmtId="191" formatCode="#,##0.0000_);\(#,##0.0000\)"/>
    <numFmt numFmtId="192" formatCode="0.000_);[Red]\(0.000\)"/>
  </numFmts>
  <fonts count="25">
    <font>
      <sz val="8"/>
      <name val="Arial"/>
      <family val="2"/>
    </font>
    <font>
      <b/>
      <sz val="8"/>
      <name val="AvantGarde Bk BT"/>
      <family val="0"/>
    </font>
    <font>
      <i/>
      <sz val="8"/>
      <name val="AvantGarde Bk BT"/>
      <family val="0"/>
    </font>
    <font>
      <b/>
      <i/>
      <sz val="8"/>
      <name val="AvantGarde Bk BT"/>
      <family val="0"/>
    </font>
    <font>
      <sz val="8"/>
      <name val="AvantGarde Bk BT"/>
      <family val="0"/>
    </font>
    <font>
      <sz val="9"/>
      <name val="Arial"/>
      <family val="2"/>
    </font>
    <font>
      <b/>
      <sz val="9"/>
      <name val="Arial"/>
      <family val="2"/>
    </font>
    <font>
      <i/>
      <sz val="8"/>
      <name val="Arial"/>
      <family val="2"/>
    </font>
    <font>
      <b/>
      <sz val="8"/>
      <name val="Arial"/>
      <family val="0"/>
    </font>
    <font>
      <b/>
      <i/>
      <sz val="8"/>
      <name val="Arial"/>
      <family val="0"/>
    </font>
    <font>
      <u val="single"/>
      <sz val="8"/>
      <name val="Arial"/>
      <family val="2"/>
    </font>
    <font>
      <i/>
      <sz val="7"/>
      <name val="Arial"/>
      <family val="2"/>
    </font>
    <font>
      <b/>
      <u val="single"/>
      <sz val="10"/>
      <name val="Arial"/>
      <family val="2"/>
    </font>
    <font>
      <b/>
      <i/>
      <u val="single"/>
      <sz val="10"/>
      <name val="Arial"/>
      <family val="2"/>
    </font>
    <font>
      <b/>
      <u val="single"/>
      <sz val="9"/>
      <name val="Arial"/>
      <family val="2"/>
    </font>
    <font>
      <sz val="8"/>
      <name val="Tahoma"/>
      <family val="0"/>
    </font>
    <font>
      <b/>
      <sz val="8"/>
      <name val="Tahoma"/>
      <family val="0"/>
    </font>
    <font>
      <b/>
      <sz val="10"/>
      <name val="Arial"/>
      <family val="2"/>
    </font>
    <font>
      <b/>
      <sz val="11"/>
      <name val="Arial"/>
      <family val="2"/>
    </font>
    <font>
      <b/>
      <sz val="12"/>
      <name val="Arial"/>
      <family val="2"/>
    </font>
    <font>
      <sz val="10"/>
      <name val="Arial"/>
      <family val="0"/>
    </font>
    <font>
      <b/>
      <sz val="7"/>
      <name val="Arial"/>
      <family val="2"/>
    </font>
    <font>
      <b/>
      <u val="single"/>
      <sz val="8"/>
      <name val="Arial"/>
      <family val="2"/>
    </font>
    <font>
      <sz val="7"/>
      <name val="Arial"/>
      <family val="2"/>
    </font>
    <font>
      <i/>
      <sz val="8"/>
      <color indexed="33"/>
      <name val="Arial"/>
      <family val="2"/>
    </font>
  </fonts>
  <fills count="4">
    <fill>
      <patternFill/>
    </fill>
    <fill>
      <patternFill patternType="gray125"/>
    </fill>
    <fill>
      <patternFill patternType="solid">
        <fgColor indexed="26"/>
        <bgColor indexed="64"/>
      </patternFill>
    </fill>
    <fill>
      <patternFill patternType="solid">
        <fgColor indexed="4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20" fillId="0" borderId="0">
      <alignment/>
      <protection/>
    </xf>
    <xf numFmtId="10" fontId="4" fillId="0" borderId="0" applyFont="0" applyFill="0" applyBorder="0" applyAlignment="0" applyProtection="0"/>
    <xf numFmtId="173" fontId="4" fillId="0" borderId="0" applyFont="0" applyFill="0" applyBorder="0" applyAlignment="0" applyProtection="0"/>
  </cellStyleXfs>
  <cellXfs count="256">
    <xf numFmtId="0" fontId="0" fillId="0" borderId="0" xfId="0" applyAlignment="1">
      <alignment/>
    </xf>
    <xf numFmtId="8" fontId="0" fillId="2" borderId="0" xfId="17" applyFont="1" applyFill="1" applyBorder="1" applyAlignment="1" applyProtection="1">
      <alignment/>
      <protection locked="0"/>
    </xf>
    <xf numFmtId="0" fontId="0" fillId="0" borderId="0" xfId="0" applyAlignment="1">
      <alignment vertical="center"/>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0" fillId="0" borderId="0" xfId="0" applyAlignment="1">
      <alignment horizontal="centerContinuous" vertical="center"/>
    </xf>
    <xf numFmtId="0" fontId="0" fillId="0" borderId="0" xfId="0" applyFont="1" applyFill="1" applyAlignment="1" applyProtection="1">
      <alignment horizontal="centerContinuous" vertical="center"/>
      <protection/>
    </xf>
    <xf numFmtId="0" fontId="0" fillId="0" borderId="0" xfId="0" applyFont="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Border="1" applyAlignment="1">
      <alignment vertical="center"/>
    </xf>
    <xf numFmtId="0" fontId="0" fillId="0" borderId="0" xfId="0" applyBorder="1" applyAlignment="1">
      <alignment horizontal="center" vertical="center"/>
    </xf>
    <xf numFmtId="0" fontId="0" fillId="0" borderId="0"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8" fillId="0" borderId="0" xfId="0" applyFont="1" applyAlignment="1">
      <alignment horizontal="center" vertical="center"/>
    </xf>
    <xf numFmtId="0" fontId="9" fillId="0" borderId="0" xfId="0" applyFont="1" applyAlignment="1" applyProtection="1" quotePrefix="1">
      <alignment horizontal="center" vertical="center"/>
      <protection/>
    </xf>
    <xf numFmtId="0" fontId="9" fillId="0" borderId="0" xfId="0" applyFont="1" applyAlignment="1" applyProtection="1">
      <alignment horizontal="center" vertical="center"/>
      <protection/>
    </xf>
    <xf numFmtId="0" fontId="0" fillId="0" borderId="0" xfId="0" applyFont="1" applyAlignment="1" applyProtection="1" quotePrefix="1">
      <alignment horizontal="left" vertical="center"/>
      <protection/>
    </xf>
    <xf numFmtId="40" fontId="0" fillId="2" borderId="0" xfId="15" applyNumberFormat="1" applyFont="1" applyFill="1" applyAlignment="1" applyProtection="1">
      <alignment vertical="center"/>
      <protection locked="0"/>
    </xf>
    <xf numFmtId="40" fontId="0" fillId="0" borderId="0" xfId="0" applyNumberFormat="1" applyAlignment="1">
      <alignment vertical="center"/>
    </xf>
    <xf numFmtId="173" fontId="0" fillId="0" borderId="0" xfId="0" applyNumberFormat="1" applyFont="1" applyAlignment="1" applyProtection="1">
      <alignment vertical="center"/>
      <protection/>
    </xf>
    <xf numFmtId="0" fontId="0" fillId="0" borderId="0" xfId="0" applyAlignment="1" applyProtection="1" quotePrefix="1">
      <alignment horizontal="left" vertical="center"/>
      <protection/>
    </xf>
    <xf numFmtId="40" fontId="0" fillId="0" borderId="0" xfId="0" applyNumberFormat="1" applyFont="1" applyAlignment="1" applyProtection="1">
      <alignment vertical="center"/>
      <protection/>
    </xf>
    <xf numFmtId="40" fontId="0" fillId="0" borderId="0" xfId="16" applyNumberFormat="1" applyFont="1" applyAlignment="1" applyProtection="1">
      <alignment vertical="center"/>
      <protection/>
    </xf>
    <xf numFmtId="40" fontId="0" fillId="2" borderId="0" xfId="16" applyNumberFormat="1" applyFont="1" applyFill="1" applyAlignment="1" applyProtection="1">
      <alignment vertical="center"/>
      <protection/>
    </xf>
    <xf numFmtId="40" fontId="0" fillId="2" borderId="0" xfId="0" applyNumberFormat="1" applyFill="1" applyAlignment="1">
      <alignment vertical="center"/>
    </xf>
    <xf numFmtId="40" fontId="0" fillId="0" borderId="0" xfId="16" applyNumberFormat="1" applyFont="1" applyAlignment="1" applyProtection="1">
      <alignment horizontal="center" vertical="center"/>
      <protection/>
    </xf>
    <xf numFmtId="40" fontId="0" fillId="0" borderId="0" xfId="0" applyNumberFormat="1" applyFont="1" applyFill="1" applyAlignment="1" applyProtection="1">
      <alignment vertical="center"/>
      <protection/>
    </xf>
    <xf numFmtId="40" fontId="0" fillId="2" borderId="0" xfId="16" applyNumberFormat="1" applyFont="1" applyFill="1" applyAlignment="1" applyProtection="1">
      <alignment vertical="center"/>
      <protection locked="0"/>
    </xf>
    <xf numFmtId="40" fontId="0" fillId="0" borderId="0" xfId="15" applyFont="1" applyAlignment="1" applyProtection="1">
      <alignment vertical="center"/>
      <protection/>
    </xf>
    <xf numFmtId="173" fontId="0" fillId="0" borderId="0" xfId="15" applyNumberFormat="1" applyFont="1" applyAlignment="1" applyProtection="1">
      <alignment vertical="center"/>
      <protection/>
    </xf>
    <xf numFmtId="40" fontId="0" fillId="0" borderId="1" xfId="0" applyNumberFormat="1" applyFont="1" applyFill="1" applyBorder="1" applyAlignment="1" applyProtection="1">
      <alignment vertical="center"/>
      <protection/>
    </xf>
    <xf numFmtId="40" fontId="0" fillId="0" borderId="1" xfId="0" applyNumberFormat="1" applyBorder="1" applyAlignment="1">
      <alignment vertical="center"/>
    </xf>
    <xf numFmtId="40" fontId="0" fillId="2" borderId="1" xfId="16" applyNumberFormat="1" applyFont="1" applyFill="1" applyBorder="1" applyAlignment="1" applyProtection="1">
      <alignment vertical="center"/>
      <protection locked="0"/>
    </xf>
    <xf numFmtId="0" fontId="8" fillId="0" borderId="0" xfId="0" applyFont="1" applyAlignment="1">
      <alignment horizontal="right" vertical="center"/>
    </xf>
    <xf numFmtId="0" fontId="0" fillId="0" borderId="0" xfId="0" applyFont="1" applyAlignment="1" applyProtection="1">
      <alignment horizontal="right" vertical="center"/>
      <protection/>
    </xf>
    <xf numFmtId="40" fontId="0" fillId="0" borderId="0" xfId="0" applyNumberFormat="1" applyFont="1" applyBorder="1" applyAlignment="1" applyProtection="1">
      <alignment vertical="center"/>
      <protection/>
    </xf>
    <xf numFmtId="40" fontId="0" fillId="0" borderId="1" xfId="0" applyNumberFormat="1" applyFont="1" applyBorder="1" applyAlignment="1" applyProtection="1">
      <alignment vertical="center"/>
      <protection/>
    </xf>
    <xf numFmtId="0" fontId="6" fillId="0" borderId="0" xfId="0" applyFont="1" applyAlignment="1" applyProtection="1">
      <alignment horizontal="right" vertical="center"/>
      <protection/>
    </xf>
    <xf numFmtId="40" fontId="5" fillId="0" borderId="0" xfId="0" applyNumberFormat="1" applyFont="1" applyAlignment="1" applyProtection="1">
      <alignment vertical="center"/>
      <protection/>
    </xf>
    <xf numFmtId="0" fontId="9" fillId="0" borderId="0" xfId="0" applyFont="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right" vertical="center"/>
      <protection/>
    </xf>
    <xf numFmtId="0" fontId="9" fillId="0" borderId="0" xfId="0" applyFont="1" applyAlignment="1" applyProtection="1" quotePrefix="1">
      <alignment horizontal="right" vertical="center"/>
      <protection/>
    </xf>
    <xf numFmtId="0" fontId="7" fillId="0" borderId="0" xfId="0" applyFont="1" applyAlignment="1" applyProtection="1">
      <alignment horizontal="right" vertical="center"/>
      <protection/>
    </xf>
    <xf numFmtId="170" fontId="0" fillId="0" borderId="0" xfId="0" applyNumberFormat="1" applyAlignment="1">
      <alignment vertical="center"/>
    </xf>
    <xf numFmtId="170" fontId="0" fillId="0" borderId="0" xfId="15" applyNumberFormat="1" applyFont="1" applyAlignment="1" applyProtection="1">
      <alignment vertical="center"/>
      <protection/>
    </xf>
    <xf numFmtId="0" fontId="10" fillId="0" borderId="0" xfId="0" applyFont="1" applyAlignment="1" applyProtection="1">
      <alignment vertical="center"/>
      <protection/>
    </xf>
    <xf numFmtId="0" fontId="0" fillId="0" borderId="0" xfId="0" applyAlignment="1" applyProtection="1">
      <alignment vertical="center"/>
      <protection/>
    </xf>
    <xf numFmtId="170" fontId="7" fillId="0" borderId="0" xfId="0" applyNumberFormat="1" applyFont="1" applyAlignment="1" applyProtection="1">
      <alignment horizontal="right" vertical="center"/>
      <protection/>
    </xf>
    <xf numFmtId="170" fontId="0" fillId="0" borderId="0" xfId="16" applyNumberFormat="1" applyFont="1" applyFill="1" applyBorder="1" applyAlignment="1" applyProtection="1">
      <alignment vertical="center"/>
      <protection/>
    </xf>
    <xf numFmtId="170" fontId="0" fillId="2" borderId="0" xfId="16" applyNumberFormat="1" applyFont="1" applyFill="1" applyBorder="1" applyAlignment="1" applyProtection="1">
      <alignment vertical="center"/>
      <protection locked="0"/>
    </xf>
    <xf numFmtId="170" fontId="0" fillId="2" borderId="0" xfId="0" applyNumberFormat="1" applyFill="1" applyAlignment="1" applyProtection="1">
      <alignment vertical="center"/>
      <protection locked="0"/>
    </xf>
    <xf numFmtId="38" fontId="0" fillId="0" borderId="0" xfId="15" applyNumberFormat="1" applyFont="1" applyAlignment="1">
      <alignment horizontal="right" vertical="center"/>
    </xf>
    <xf numFmtId="40" fontId="0" fillId="0" borderId="0" xfId="15" applyNumberFormat="1" applyFont="1" applyFill="1" applyAlignment="1" applyProtection="1">
      <alignment vertical="center"/>
      <protection/>
    </xf>
    <xf numFmtId="38" fontId="0" fillId="0" borderId="0" xfId="15" applyNumberFormat="1" applyFont="1" applyAlignment="1" applyProtection="1">
      <alignment horizontal="right" vertical="center"/>
      <protection/>
    </xf>
    <xf numFmtId="40" fontId="0" fillId="2" borderId="1" xfId="15" applyNumberFormat="1" applyFont="1" applyFill="1" applyBorder="1" applyAlignment="1" applyProtection="1">
      <alignment vertical="center"/>
      <protection locked="0"/>
    </xf>
    <xf numFmtId="40" fontId="0" fillId="0" borderId="1" xfId="15" applyNumberFormat="1" applyFont="1" applyFill="1" applyBorder="1" applyAlignment="1" applyProtection="1">
      <alignment vertical="center"/>
      <protection/>
    </xf>
    <xf numFmtId="173" fontId="0" fillId="0" borderId="0" xfId="15" applyNumberFormat="1" applyFont="1" applyBorder="1" applyAlignment="1" applyProtection="1">
      <alignment vertical="center"/>
      <protection/>
    </xf>
    <xf numFmtId="0" fontId="0" fillId="0" borderId="0" xfId="0" applyFont="1" applyAlignment="1">
      <alignment vertical="center"/>
    </xf>
    <xf numFmtId="0" fontId="0" fillId="0" borderId="0" xfId="0" applyFont="1" applyAlignment="1">
      <alignment horizontal="right" vertical="center"/>
    </xf>
    <xf numFmtId="40" fontId="0" fillId="0" borderId="0" xfId="0" applyNumberFormat="1" applyFont="1" applyAlignment="1">
      <alignment vertical="center"/>
    </xf>
    <xf numFmtId="40" fontId="0" fillId="0" borderId="0" xfId="15" applyNumberFormat="1" applyFont="1" applyAlignment="1" applyProtection="1">
      <alignment vertical="center"/>
      <protection/>
    </xf>
    <xf numFmtId="173" fontId="0" fillId="2" borderId="1" xfId="15" applyNumberFormat="1" applyFont="1" applyFill="1" applyBorder="1" applyAlignment="1" applyProtection="1">
      <alignment vertical="center"/>
      <protection locked="0"/>
    </xf>
    <xf numFmtId="168" fontId="0" fillId="0" borderId="0" xfId="0" applyNumberFormat="1" applyFont="1" applyAlignment="1" applyProtection="1">
      <alignment vertical="center"/>
      <protection/>
    </xf>
    <xf numFmtId="173" fontId="0" fillId="0" borderId="0" xfId="15" applyNumberFormat="1" applyFont="1" applyAlignment="1" applyProtection="1">
      <alignment horizontal="centerContinuous" vertical="center"/>
      <protection/>
    </xf>
    <xf numFmtId="175" fontId="0" fillId="2" borderId="0" xfId="16" applyNumberFormat="1" applyFont="1" applyFill="1" applyBorder="1" applyAlignment="1" applyProtection="1">
      <alignment vertical="center"/>
      <protection locked="0"/>
    </xf>
    <xf numFmtId="173" fontId="0" fillId="0" borderId="1" xfId="0" applyNumberFormat="1" applyFont="1" applyBorder="1" applyAlignment="1" applyProtection="1">
      <alignment vertical="center"/>
      <protection/>
    </xf>
    <xf numFmtId="8" fontId="0" fillId="2" borderId="1" xfId="17" applyFont="1" applyFill="1" applyBorder="1" applyAlignment="1" applyProtection="1">
      <alignment vertical="center"/>
      <protection locked="0"/>
    </xf>
    <xf numFmtId="0" fontId="6" fillId="0" borderId="0" xfId="0" applyFont="1" applyAlignment="1" applyProtection="1">
      <alignment horizontal="right" vertical="center"/>
      <protection/>
    </xf>
    <xf numFmtId="8" fontId="0" fillId="0" borderId="0" xfId="17" applyNumberFormat="1" applyFont="1" applyAlignment="1" applyProtection="1">
      <alignment vertical="center"/>
      <protection/>
    </xf>
    <xf numFmtId="8" fontId="0" fillId="2" borderId="0" xfId="17" applyNumberFormat="1" applyFont="1" applyFill="1" applyAlignment="1" applyProtection="1">
      <alignment vertical="center"/>
      <protection locked="0"/>
    </xf>
    <xf numFmtId="8" fontId="0" fillId="2" borderId="1" xfId="17" applyNumberFormat="1" applyFont="1" applyFill="1" applyBorder="1" applyAlignment="1" applyProtection="1">
      <alignment vertical="center"/>
      <protection locked="0"/>
    </xf>
    <xf numFmtId="0" fontId="0" fillId="0" borderId="0" xfId="0" applyAlignment="1" applyProtection="1">
      <alignment horizontal="right" vertical="center"/>
      <protection/>
    </xf>
    <xf numFmtId="8" fontId="0" fillId="0" borderId="0" xfId="17" applyFont="1" applyBorder="1" applyAlignment="1" applyProtection="1">
      <alignment vertical="center"/>
      <protection/>
    </xf>
    <xf numFmtId="0" fontId="0" fillId="0" borderId="0" xfId="0" applyAlignment="1" applyProtection="1">
      <alignment horizontal="left" vertical="center"/>
      <protection/>
    </xf>
    <xf numFmtId="8" fontId="0" fillId="0" borderId="0" xfId="17" applyFont="1" applyFill="1" applyAlignment="1" applyProtection="1">
      <alignment vertical="center"/>
      <protection locked="0"/>
    </xf>
    <xf numFmtId="8" fontId="0" fillId="2" borderId="0" xfId="17" applyFont="1" applyFill="1" applyBorder="1" applyAlignment="1" applyProtection="1">
      <alignment vertical="center"/>
      <protection locked="0"/>
    </xf>
    <xf numFmtId="8" fontId="0" fillId="0" borderId="0" xfId="0" applyNumberFormat="1" applyAlignment="1">
      <alignment vertical="center"/>
    </xf>
    <xf numFmtId="0" fontId="5" fillId="0" borderId="0" xfId="0" applyFont="1" applyAlignment="1" applyProtection="1">
      <alignment horizontal="centerContinuous" vertical="center"/>
      <protection/>
    </xf>
    <xf numFmtId="0" fontId="8" fillId="0" borderId="0" xfId="0" applyFont="1" applyAlignment="1" applyProtection="1">
      <alignment vertical="center"/>
      <protection/>
    </xf>
    <xf numFmtId="0" fontId="9" fillId="0" borderId="0" xfId="0" applyFont="1" applyAlignment="1" applyProtection="1">
      <alignment vertical="center"/>
      <protection/>
    </xf>
    <xf numFmtId="0" fontId="7" fillId="0" borderId="0" xfId="0" applyFont="1" applyAlignment="1" applyProtection="1">
      <alignment vertical="center"/>
      <protection/>
    </xf>
    <xf numFmtId="0" fontId="0" fillId="2" borderId="0" xfId="0" applyFont="1" applyFill="1" applyAlignment="1" applyProtection="1">
      <alignment horizontal="center" vertical="center"/>
      <protection locked="0"/>
    </xf>
    <xf numFmtId="49" fontId="0" fillId="2" borderId="0" xfId="0" applyNumberFormat="1" applyFill="1" applyAlignment="1" applyProtection="1">
      <alignment horizontal="center" vertical="center"/>
      <protection locked="0"/>
    </xf>
    <xf numFmtId="0" fontId="0" fillId="0" borderId="0" xfId="0" applyFont="1" applyAlignment="1" applyProtection="1">
      <alignment vertical="center"/>
      <protection/>
    </xf>
    <xf numFmtId="38" fontId="0" fillId="2" borderId="0" xfId="15" applyNumberFormat="1" applyFont="1" applyFill="1" applyBorder="1" applyAlignment="1" applyProtection="1">
      <alignment horizontal="right" vertical="center"/>
      <protection locked="0"/>
    </xf>
    <xf numFmtId="175" fontId="0" fillId="0" borderId="0" xfId="15" applyNumberFormat="1" applyFont="1" applyAlignment="1">
      <alignment horizontal="right" vertical="center"/>
    </xf>
    <xf numFmtId="38" fontId="0" fillId="2" borderId="0" xfId="15" applyNumberFormat="1" applyFont="1" applyFill="1" applyBorder="1" applyAlignment="1" applyProtection="1">
      <alignment vertical="center"/>
      <protection locked="0"/>
    </xf>
    <xf numFmtId="0" fontId="7" fillId="0" borderId="0" xfId="0" applyFont="1" applyFill="1" applyAlignment="1" applyProtection="1">
      <alignment horizontal="right" vertical="center"/>
      <protection/>
    </xf>
    <xf numFmtId="0" fontId="0" fillId="2" borderId="0" xfId="0" applyFont="1" applyFill="1" applyAlignment="1" applyProtection="1">
      <alignment horizontal="right" vertical="center"/>
      <protection locked="0"/>
    </xf>
    <xf numFmtId="170" fontId="0" fillId="2" borderId="2" xfId="16" applyNumberFormat="1" applyFont="1" applyFill="1" applyBorder="1" applyAlignment="1" applyProtection="1">
      <alignment vertical="center"/>
      <protection locked="0"/>
    </xf>
    <xf numFmtId="0" fontId="12" fillId="0" borderId="0" xfId="0" applyFont="1" applyAlignment="1" applyProtection="1" quotePrefix="1">
      <alignment horizontal="lef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4" fillId="0" borderId="0" xfId="0" applyFont="1" applyAlignment="1" applyProtection="1" quotePrefix="1">
      <alignment horizontal="left" vertical="center"/>
      <protection/>
    </xf>
    <xf numFmtId="0" fontId="7" fillId="0" borderId="0" xfId="0" applyFont="1" applyAlignment="1" applyProtection="1">
      <alignment horizontal="left" vertical="center" indent="2"/>
      <protection/>
    </xf>
    <xf numFmtId="0" fontId="12" fillId="0" borderId="0" xfId="0" applyFont="1" applyAlignment="1">
      <alignment vertical="center"/>
    </xf>
    <xf numFmtId="0" fontId="0" fillId="0" borderId="0" xfId="0" applyAlignment="1">
      <alignment horizontal="left" vertical="center" indent="1"/>
    </xf>
    <xf numFmtId="0" fontId="0" fillId="0" borderId="0" xfId="0" applyAlignment="1" applyProtection="1">
      <alignment horizontal="left" vertical="center" indent="1"/>
      <protection/>
    </xf>
    <xf numFmtId="0" fontId="0" fillId="0" borderId="0" xfId="0" applyFont="1" applyAlignment="1" applyProtection="1">
      <alignment horizontal="left" vertical="center" indent="1"/>
      <protection/>
    </xf>
    <xf numFmtId="8" fontId="0" fillId="0" borderId="0" xfId="17" applyFont="1" applyAlignment="1" applyProtection="1">
      <alignment vertical="center"/>
      <protection/>
    </xf>
    <xf numFmtId="173" fontId="0" fillId="0" borderId="0" xfId="0" applyNumberFormat="1" applyFont="1" applyBorder="1" applyAlignment="1" applyProtection="1">
      <alignment vertical="center"/>
      <protection/>
    </xf>
    <xf numFmtId="173" fontId="0" fillId="0" borderId="2" xfId="0" applyNumberFormat="1" applyFont="1" applyBorder="1" applyAlignment="1" applyProtection="1">
      <alignment vertical="center"/>
      <protection/>
    </xf>
    <xf numFmtId="0" fontId="0" fillId="0" borderId="0" xfId="0" applyAlignment="1">
      <alignment horizontal="center" vertical="center"/>
    </xf>
    <xf numFmtId="0" fontId="0" fillId="0" borderId="0" xfId="0" applyBorder="1" applyAlignment="1">
      <alignment horizontal="left" vertical="center" indent="2"/>
    </xf>
    <xf numFmtId="0" fontId="0" fillId="0" borderId="0" xfId="0" applyAlignment="1">
      <alignment horizontal="right" vertical="center"/>
    </xf>
    <xf numFmtId="0" fontId="0" fillId="0" borderId="0" xfId="0" applyFont="1" applyAlignment="1" applyProtection="1">
      <alignment horizontal="center" vertical="top"/>
      <protection/>
    </xf>
    <xf numFmtId="0" fontId="9" fillId="0" borderId="0" xfId="0" applyFont="1" applyAlignment="1" applyProtection="1" quotePrefix="1">
      <alignment horizontal="center" vertical="top"/>
      <protection/>
    </xf>
    <xf numFmtId="0" fontId="9" fillId="0" borderId="0" xfId="0" applyFont="1" applyAlignment="1" applyProtection="1">
      <alignment horizontal="center" vertical="top"/>
      <protection/>
    </xf>
    <xf numFmtId="0" fontId="8" fillId="0" borderId="0" xfId="0" applyFont="1" applyAlignment="1">
      <alignment horizontal="center" vertical="top"/>
    </xf>
    <xf numFmtId="0" fontId="0" fillId="0" borderId="0" xfId="0" applyAlignment="1">
      <alignment vertical="top"/>
    </xf>
    <xf numFmtId="0" fontId="0" fillId="0" borderId="0" xfId="0" applyFont="1" applyAlignment="1" applyProtection="1">
      <alignment horizontal="center"/>
      <protection/>
    </xf>
    <xf numFmtId="0" fontId="8" fillId="0" borderId="0" xfId="0" applyFont="1" applyAlignment="1" applyProtection="1">
      <alignment horizontal="center"/>
      <protection/>
    </xf>
    <xf numFmtId="0" fontId="8" fillId="0" borderId="0" xfId="0" applyFont="1" applyAlignment="1">
      <alignment horizontal="center"/>
    </xf>
    <xf numFmtId="0" fontId="0" fillId="0" borderId="0" xfId="0" applyAlignment="1">
      <alignment/>
    </xf>
    <xf numFmtId="170" fontId="0" fillId="0" borderId="0" xfId="0" applyNumberFormat="1" applyAlignment="1" applyProtection="1">
      <alignment horizontal="center" vertical="center"/>
      <protection/>
    </xf>
    <xf numFmtId="170" fontId="7" fillId="0" borderId="0" xfId="0" applyNumberFormat="1" applyFont="1" applyAlignment="1" applyProtection="1">
      <alignment horizontal="left" vertical="center" indent="2"/>
      <protection/>
    </xf>
    <xf numFmtId="173" fontId="0" fillId="0" borderId="0" xfId="15" applyNumberFormat="1" applyFont="1" applyAlignment="1" applyProtection="1">
      <alignment horizontal="center" vertical="center"/>
      <protection/>
    </xf>
    <xf numFmtId="0" fontId="13" fillId="0" borderId="0" xfId="0" applyFont="1" applyAlignment="1">
      <alignment vertical="center"/>
    </xf>
    <xf numFmtId="0" fontId="7" fillId="0" borderId="0" xfId="0" applyFont="1" applyAlignment="1" applyProtection="1" quotePrefix="1">
      <alignment vertical="center"/>
      <protection/>
    </xf>
    <xf numFmtId="0" fontId="8" fillId="0" borderId="0" xfId="0" applyFont="1" applyAlignment="1" applyProtection="1">
      <alignment horizontal="right"/>
      <protection/>
    </xf>
    <xf numFmtId="0" fontId="9"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quotePrefix="1">
      <alignment horizontal="right" vertical="top"/>
      <protection/>
    </xf>
    <xf numFmtId="0" fontId="9" fillId="0" borderId="0" xfId="0" applyFont="1" applyAlignment="1" applyProtection="1">
      <alignment horizontal="right" vertical="top"/>
      <protection/>
    </xf>
    <xf numFmtId="0" fontId="0" fillId="0" borderId="0" xfId="0" applyFont="1" applyBorder="1" applyAlignment="1" applyProtection="1">
      <alignment horizontal="left" vertical="center" indent="3"/>
      <protection/>
    </xf>
    <xf numFmtId="0" fontId="0" fillId="0" borderId="3" xfId="0" applyFont="1" applyBorder="1" applyAlignment="1" applyProtection="1">
      <alignment vertical="center"/>
      <protection/>
    </xf>
    <xf numFmtId="0" fontId="0" fillId="0" borderId="4" xfId="0" applyFont="1" applyBorder="1" applyAlignment="1" applyProtection="1">
      <alignment vertical="center"/>
      <protection/>
    </xf>
    <xf numFmtId="8" fontId="0" fillId="0" borderId="0" xfId="17" applyFont="1" applyBorder="1" applyAlignment="1" applyProtection="1">
      <alignment vertical="center"/>
      <protection/>
    </xf>
    <xf numFmtId="0" fontId="8" fillId="0" borderId="0" xfId="0" applyFont="1" applyAlignment="1" applyProtection="1">
      <alignment horizontal="right" vertical="center"/>
      <protection/>
    </xf>
    <xf numFmtId="0" fontId="0" fillId="0" borderId="0" xfId="0" applyFont="1" applyAlignment="1" applyProtection="1">
      <alignment horizontal="right" vertical="center"/>
      <protection/>
    </xf>
    <xf numFmtId="0" fontId="7" fillId="0" borderId="0" xfId="0" applyFont="1" applyAlignment="1" applyProtection="1">
      <alignment horizontal="center" vertical="center"/>
      <protection/>
    </xf>
    <xf numFmtId="173" fontId="0" fillId="0" borderId="0" xfId="0" applyNumberFormat="1" applyFont="1" applyAlignment="1" applyProtection="1">
      <alignment horizontal="center" vertical="center"/>
      <protection/>
    </xf>
    <xf numFmtId="0" fontId="7" fillId="0" borderId="0" xfId="0" applyFont="1" applyAlignment="1" applyProtection="1">
      <alignment horizontal="left" vertical="center" indent="1"/>
      <protection/>
    </xf>
    <xf numFmtId="0" fontId="7" fillId="0" borderId="0" xfId="0" applyFont="1" applyAlignment="1" applyProtection="1">
      <alignment horizontal="center" vertical="center"/>
      <protection/>
    </xf>
    <xf numFmtId="0" fontId="17" fillId="0" borderId="0" xfId="0" applyFont="1" applyBorder="1" applyAlignment="1" applyProtection="1">
      <alignment vertical="center"/>
      <protection/>
    </xf>
    <xf numFmtId="0" fontId="10" fillId="0" borderId="0" xfId="0" applyFont="1" applyAlignment="1" applyProtection="1">
      <alignment horizontal="right" vertical="center"/>
      <protection/>
    </xf>
    <xf numFmtId="0" fontId="6" fillId="0" borderId="0" xfId="0" applyFont="1" applyBorder="1" applyAlignment="1">
      <alignment horizontal="right" vertical="center"/>
    </xf>
    <xf numFmtId="0" fontId="19" fillId="0" borderId="0" xfId="0" applyFont="1" applyFill="1" applyAlignment="1" applyProtection="1">
      <alignment horizontal="centerContinuous" vertical="center"/>
      <protection locked="0"/>
    </xf>
    <xf numFmtId="0" fontId="17" fillId="2" borderId="1" xfId="0" applyFont="1" applyFill="1" applyBorder="1" applyAlignment="1" applyProtection="1">
      <alignment horizontal="center" vertical="center"/>
      <protection locked="0"/>
    </xf>
    <xf numFmtId="0" fontId="12" fillId="0" borderId="0" xfId="0" applyFont="1" applyAlignment="1">
      <alignment horizontal="centerContinuous" vertical="center"/>
    </xf>
    <xf numFmtId="0" fontId="12" fillId="0" borderId="0" xfId="0" applyFont="1" applyBorder="1" applyAlignment="1">
      <alignment vertical="center"/>
    </xf>
    <xf numFmtId="0" fontId="12" fillId="0" borderId="0" xfId="0" applyFont="1" applyBorder="1" applyAlignment="1" applyProtection="1">
      <alignment vertical="center"/>
      <protection/>
    </xf>
    <xf numFmtId="0" fontId="12" fillId="0" borderId="0" xfId="0" applyFont="1" applyAlignment="1" applyProtection="1">
      <alignment horizontal="center"/>
      <protection/>
    </xf>
    <xf numFmtId="0" fontId="12" fillId="0" borderId="0" xfId="0" applyFont="1" applyAlignment="1" applyProtection="1">
      <alignment horizontal="center" vertical="top"/>
      <protection/>
    </xf>
    <xf numFmtId="0" fontId="12" fillId="0" borderId="0" xfId="0" applyFont="1" applyAlignment="1" applyProtection="1">
      <alignment horizontal="right" vertical="center"/>
      <protection/>
    </xf>
    <xf numFmtId="40" fontId="0" fillId="2" borderId="2" xfId="16" applyNumberFormat="1" applyFont="1" applyFill="1" applyBorder="1" applyAlignment="1" applyProtection="1">
      <alignment vertical="center"/>
      <protection locked="0"/>
    </xf>
    <xf numFmtId="0" fontId="20" fillId="0" borderId="0" xfId="19" applyAlignment="1">
      <alignment vertical="center"/>
      <protection/>
    </xf>
    <xf numFmtId="0" fontId="20" fillId="0" borderId="0" xfId="19" applyAlignment="1">
      <alignment horizontal="right" vertical="center"/>
      <protection/>
    </xf>
    <xf numFmtId="0" fontId="20" fillId="0" borderId="0" xfId="19" applyBorder="1" applyAlignment="1">
      <alignment horizontal="right" vertical="center"/>
      <protection/>
    </xf>
    <xf numFmtId="8" fontId="20" fillId="0" borderId="0" xfId="17" applyAlignment="1">
      <alignment horizontal="right" vertical="center"/>
    </xf>
    <xf numFmtId="0" fontId="20" fillId="0" borderId="0" xfId="19" applyFont="1" applyAlignment="1">
      <alignment horizontal="right" vertical="center"/>
      <protection/>
    </xf>
    <xf numFmtId="0" fontId="7" fillId="0" borderId="0" xfId="0" applyFont="1" applyAlignment="1" applyProtection="1">
      <alignment horizontal="right" vertical="center"/>
      <protection/>
    </xf>
    <xf numFmtId="40" fontId="0" fillId="2" borderId="3" xfId="15" applyFont="1" applyFill="1" applyBorder="1" applyAlignment="1" applyProtection="1">
      <alignment vertical="center"/>
      <protection locked="0"/>
    </xf>
    <xf numFmtId="40" fontId="0" fillId="0" borderId="3" xfId="15" applyFont="1" applyBorder="1" applyAlignment="1" applyProtection="1">
      <alignment vertical="center"/>
      <protection/>
    </xf>
    <xf numFmtId="40" fontId="0" fillId="0" borderId="5" xfId="15" applyFont="1" applyBorder="1" applyAlignment="1" applyProtection="1">
      <alignment vertical="center"/>
      <protection/>
    </xf>
    <xf numFmtId="40" fontId="20" fillId="0" borderId="0" xfId="15" applyAlignment="1">
      <alignment vertical="center"/>
    </xf>
    <xf numFmtId="40" fontId="20" fillId="0" borderId="1" xfId="15" applyBorder="1" applyAlignment="1">
      <alignment vertical="center"/>
    </xf>
    <xf numFmtId="40" fontId="20" fillId="0" borderId="0" xfId="15" applyBorder="1" applyAlignment="1">
      <alignment vertical="center"/>
    </xf>
    <xf numFmtId="40" fontId="20" fillId="0" borderId="2" xfId="15" applyBorder="1" applyAlignment="1">
      <alignment vertical="center"/>
    </xf>
    <xf numFmtId="0" fontId="7" fillId="0" borderId="0" xfId="0" applyFont="1" applyAlignment="1" applyProtection="1">
      <alignment horizontal="left" vertical="center"/>
      <protection/>
    </xf>
    <xf numFmtId="191" fontId="0" fillId="0" borderId="0" xfId="0" applyNumberFormat="1" applyFont="1" applyAlignment="1" applyProtection="1">
      <alignment vertical="center"/>
      <protection/>
    </xf>
    <xf numFmtId="0" fontId="8" fillId="0" borderId="0" xfId="0" applyFont="1" applyAlignment="1">
      <alignment horizontal="center" vertical="top"/>
    </xf>
    <xf numFmtId="40" fontId="17" fillId="0" borderId="0" xfId="15" applyFont="1" applyAlignment="1">
      <alignment horizontal="center" vertical="top"/>
    </xf>
    <xf numFmtId="0" fontId="17" fillId="0" borderId="0" xfId="19" applyFont="1" applyAlignment="1">
      <alignment horizontal="center" vertical="top"/>
      <protection/>
    </xf>
    <xf numFmtId="0" fontId="8" fillId="0" borderId="0" xfId="0" applyFont="1" applyAlignment="1">
      <alignment horizontal="center"/>
    </xf>
    <xf numFmtId="40" fontId="17" fillId="0" borderId="0" xfId="15" applyFont="1" applyAlignment="1">
      <alignment horizontal="center"/>
    </xf>
    <xf numFmtId="0" fontId="17" fillId="0" borderId="0" xfId="19" applyFont="1" applyAlignment="1">
      <alignment horizontal="center"/>
      <protection/>
    </xf>
    <xf numFmtId="0" fontId="20" fillId="0" borderId="0" xfId="19" applyFont="1" applyBorder="1" applyAlignment="1">
      <alignment horizontal="right" vertical="center"/>
      <protection/>
    </xf>
    <xf numFmtId="40" fontId="0" fillId="0" borderId="0" xfId="15" applyFont="1" applyBorder="1" applyAlignment="1" applyProtection="1">
      <alignment vertical="center"/>
      <protection/>
    </xf>
    <xf numFmtId="40" fontId="0" fillId="0" borderId="3" xfId="15" applyFont="1" applyFill="1" applyBorder="1" applyAlignment="1" applyProtection="1">
      <alignment vertical="center"/>
      <protection locked="0"/>
    </xf>
    <xf numFmtId="8" fontId="0" fillId="0" borderId="0" xfId="17" applyBorder="1" applyAlignment="1" applyProtection="1">
      <alignment vertical="center"/>
      <protection/>
    </xf>
    <xf numFmtId="173" fontId="17" fillId="0" borderId="0" xfId="15" applyNumberFormat="1" applyFont="1" applyAlignment="1">
      <alignment horizontal="center" vertical="top"/>
    </xf>
    <xf numFmtId="173" fontId="20" fillId="0" borderId="0" xfId="15" applyNumberFormat="1" applyAlignment="1">
      <alignment vertical="center"/>
    </xf>
    <xf numFmtId="173" fontId="20" fillId="0" borderId="0" xfId="15" applyNumberFormat="1" applyBorder="1" applyAlignment="1">
      <alignment vertical="center"/>
    </xf>
    <xf numFmtId="173" fontId="20" fillId="0" borderId="0" xfId="15" applyNumberFormat="1" applyFont="1" applyBorder="1" applyAlignment="1">
      <alignment vertical="center"/>
    </xf>
    <xf numFmtId="173" fontId="20" fillId="0" borderId="1" xfId="15" applyNumberFormat="1" applyBorder="1" applyAlignment="1">
      <alignment vertical="center"/>
    </xf>
    <xf numFmtId="173" fontId="10" fillId="0" borderId="0" xfId="15" applyNumberFormat="1" applyFont="1" applyAlignment="1" applyProtection="1">
      <alignment horizontal="center" vertical="center"/>
      <protection/>
    </xf>
    <xf numFmtId="0" fontId="7" fillId="0" borderId="3" xfId="0" applyFont="1" applyBorder="1" applyAlignment="1" applyProtection="1">
      <alignment horizontal="left" vertical="center" indent="3"/>
      <protection/>
    </xf>
    <xf numFmtId="49" fontId="0" fillId="2" borderId="0" xfId="0" applyNumberFormat="1" applyFill="1" applyAlignment="1" applyProtection="1" quotePrefix="1">
      <alignment horizontal="center" vertical="center"/>
      <protection locked="0"/>
    </xf>
    <xf numFmtId="49" fontId="0" fillId="2" borderId="0" xfId="0" applyNumberFormat="1" applyFont="1" applyFill="1" applyAlignment="1" applyProtection="1">
      <alignment horizontal="center" vertical="center"/>
      <protection locked="0"/>
    </xf>
    <xf numFmtId="0" fontId="0" fillId="2" borderId="0" xfId="0" applyFill="1" applyAlignment="1" applyProtection="1">
      <alignment horizontal="left" vertical="center"/>
      <protection locked="0"/>
    </xf>
    <xf numFmtId="0" fontId="0" fillId="2" borderId="0" xfId="0" applyFont="1" applyFill="1" applyAlignment="1" applyProtection="1">
      <alignment horizontal="left" vertical="center"/>
      <protection locked="0"/>
    </xf>
    <xf numFmtId="0" fontId="0" fillId="2" borderId="0" xfId="0" applyFill="1" applyAlignment="1" applyProtection="1" quotePrefix="1">
      <alignment horizontal="center" vertical="center"/>
      <protection locked="0"/>
    </xf>
    <xf numFmtId="173" fontId="0" fillId="0" borderId="0" xfId="0" applyNumberFormat="1" applyAlignment="1">
      <alignment vertical="center"/>
    </xf>
    <xf numFmtId="0" fontId="0" fillId="0" borderId="6" xfId="0" applyFont="1" applyBorder="1" applyAlignment="1" applyProtection="1" quotePrefix="1">
      <alignment horizontal="left" vertical="center"/>
      <protection/>
    </xf>
    <xf numFmtId="0" fontId="0" fillId="0" borderId="7"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quotePrefix="1">
      <alignment horizontal="left" vertical="center"/>
      <protection/>
    </xf>
    <xf numFmtId="0" fontId="0" fillId="0" borderId="5" xfId="0" applyFont="1" applyBorder="1" applyAlignment="1" applyProtection="1">
      <alignment vertical="center"/>
      <protection/>
    </xf>
    <xf numFmtId="40" fontId="0" fillId="2" borderId="3" xfId="16" applyNumberFormat="1" applyFont="1" applyFill="1" applyBorder="1" applyAlignment="1" applyProtection="1">
      <alignment vertical="center"/>
      <protection locked="0"/>
    </xf>
    <xf numFmtId="0" fontId="8"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17" fillId="0" borderId="0" xfId="0" applyFont="1" applyAlignment="1" applyProtection="1">
      <alignment horizontal="right" vertical="center"/>
      <protection/>
    </xf>
    <xf numFmtId="0" fontId="21" fillId="0" borderId="0" xfId="0" applyFont="1" applyAlignment="1" applyProtection="1">
      <alignment horizontal="right" vertical="center"/>
      <protection/>
    </xf>
    <xf numFmtId="192" fontId="0" fillId="0" borderId="0" xfId="0" applyNumberFormat="1" applyFont="1" applyAlignment="1" applyProtection="1">
      <alignment vertical="center"/>
      <protection/>
    </xf>
    <xf numFmtId="0" fontId="22" fillId="0" borderId="0" xfId="0" applyFont="1" applyAlignment="1">
      <alignment vertical="center"/>
    </xf>
    <xf numFmtId="0" fontId="0" fillId="0" borderId="0" xfId="0" applyFont="1" applyAlignment="1" applyProtection="1" quotePrefix="1">
      <alignment horizontal="left" vertical="center"/>
      <protection/>
    </xf>
    <xf numFmtId="170" fontId="0" fillId="0" borderId="0" xfId="0" applyNumberFormat="1" applyFont="1" applyAlignment="1">
      <alignment vertical="center"/>
    </xf>
    <xf numFmtId="0" fontId="22" fillId="0" borderId="0" xfId="0" applyFont="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lignment vertical="center"/>
    </xf>
    <xf numFmtId="0" fontId="5" fillId="0" borderId="0" xfId="0" applyFont="1" applyAlignment="1" applyProtection="1">
      <alignment horizontal="right" vertical="center"/>
      <protection/>
    </xf>
    <xf numFmtId="173" fontId="0" fillId="0" borderId="0" xfId="15" applyNumberFormat="1" applyFont="1" applyBorder="1" applyAlignment="1" applyProtection="1">
      <alignment horizontal="right" vertical="center"/>
      <protection/>
    </xf>
    <xf numFmtId="40" fontId="0" fillId="2" borderId="0" xfId="15" applyNumberFormat="1" applyFont="1" applyFill="1" applyBorder="1" applyAlignment="1" applyProtection="1">
      <alignment horizontal="center" vertical="center"/>
      <protection locked="0"/>
    </xf>
    <xf numFmtId="40" fontId="0" fillId="2" borderId="0" xfId="15" applyNumberFormat="1" applyFont="1" applyFill="1" applyAlignment="1" applyProtection="1">
      <alignment horizontal="center" vertical="center"/>
      <protection locked="0"/>
    </xf>
    <xf numFmtId="0" fontId="0" fillId="0" borderId="10" xfId="0" applyFont="1" applyBorder="1" applyAlignment="1" applyProtection="1" quotePrefix="1">
      <alignment horizontal="left" vertical="center"/>
      <protection/>
    </xf>
    <xf numFmtId="0" fontId="0" fillId="0" borderId="10" xfId="0" applyBorder="1" applyAlignment="1">
      <alignment horizontal="left" vertical="center" indent="2"/>
    </xf>
    <xf numFmtId="0" fontId="0" fillId="0" borderId="3" xfId="0" applyBorder="1" applyAlignment="1">
      <alignment vertical="center"/>
    </xf>
    <xf numFmtId="0" fontId="0" fillId="0" borderId="3" xfId="0" applyFont="1" applyBorder="1" applyAlignment="1" applyProtection="1">
      <alignment horizontal="left" vertical="center"/>
      <protection/>
    </xf>
    <xf numFmtId="0" fontId="0" fillId="0" borderId="9"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8" fillId="0" borderId="10" xfId="0" applyFont="1" applyBorder="1" applyAlignment="1">
      <alignment horizontal="left" vertical="center" indent="1"/>
    </xf>
    <xf numFmtId="173" fontId="0" fillId="0" borderId="3" xfId="15" applyNumberFormat="1" applyFont="1" applyBorder="1" applyAlignment="1" applyProtection="1">
      <alignment vertical="center"/>
      <protection/>
    </xf>
    <xf numFmtId="0" fontId="7" fillId="0" borderId="10" xfId="0" applyFont="1" applyBorder="1" applyAlignment="1" applyProtection="1">
      <alignment horizontal="left" vertical="top" indent="1"/>
      <protection/>
    </xf>
    <xf numFmtId="0" fontId="7" fillId="0" borderId="9" xfId="0" applyFont="1" applyBorder="1" applyAlignment="1" applyProtection="1">
      <alignment vertical="center"/>
      <protection/>
    </xf>
    <xf numFmtId="0" fontId="7" fillId="0" borderId="10" xfId="0" applyFont="1" applyBorder="1" applyAlignment="1" applyProtection="1">
      <alignment horizontal="left" vertical="center" indent="2"/>
      <protection/>
    </xf>
    <xf numFmtId="0" fontId="9" fillId="0" borderId="0" xfId="0" applyFont="1" applyAlignment="1" applyProtection="1">
      <alignment horizontal="right" vertical="center"/>
      <protection/>
    </xf>
    <xf numFmtId="0" fontId="12" fillId="0" borderId="0" xfId="0" applyFont="1" applyAlignment="1" applyProtection="1">
      <alignment horizontal="left" vertical="center" indent="1"/>
      <protection/>
    </xf>
    <xf numFmtId="0" fontId="7" fillId="0" borderId="0" xfId="0" applyFont="1" applyBorder="1" applyAlignment="1" applyProtection="1">
      <alignment vertical="center"/>
      <protection/>
    </xf>
    <xf numFmtId="173" fontId="0" fillId="0" borderId="3" xfId="0" applyNumberFormat="1" applyFont="1" applyBorder="1" applyAlignment="1" applyProtection="1">
      <alignment vertical="center"/>
      <protection/>
    </xf>
    <xf numFmtId="0" fontId="8" fillId="0" borderId="0" xfId="0" applyFont="1" applyAlignment="1" applyProtection="1">
      <alignment horizontal="left" vertical="center" indent="1"/>
      <protection/>
    </xf>
    <xf numFmtId="0" fontId="23" fillId="0" borderId="0" xfId="0" applyFont="1" applyAlignment="1" applyProtection="1">
      <alignment horizontal="left" vertical="center" indent="2"/>
      <protection/>
    </xf>
    <xf numFmtId="0" fontId="23" fillId="0" borderId="0" xfId="0" applyFont="1" applyAlignment="1" applyProtection="1">
      <alignment horizontal="left" indent="2"/>
      <protection/>
    </xf>
    <xf numFmtId="0" fontId="7" fillId="0" borderId="11" xfId="0" applyFont="1" applyBorder="1" applyAlignment="1" applyProtection="1">
      <alignment horizontal="left" vertical="center" indent="2"/>
      <protection/>
    </xf>
    <xf numFmtId="0" fontId="0" fillId="0" borderId="12" xfId="0" applyFont="1" applyBorder="1" applyAlignment="1" applyProtection="1">
      <alignment horizontal="left" vertical="center" indent="3"/>
      <protection/>
    </xf>
    <xf numFmtId="0" fontId="0" fillId="0" borderId="12" xfId="0" applyFont="1" applyBorder="1" applyAlignment="1" applyProtection="1">
      <alignment vertical="center"/>
      <protection/>
    </xf>
    <xf numFmtId="40" fontId="0" fillId="2" borderId="13" xfId="15" applyFont="1" applyFill="1" applyBorder="1" applyAlignment="1" applyProtection="1">
      <alignment vertical="center"/>
      <protection/>
    </xf>
    <xf numFmtId="0" fontId="9" fillId="0" borderId="14" xfId="0" applyFont="1" applyBorder="1" applyAlignment="1" applyProtection="1">
      <alignment horizontal="left" vertical="center" indent="2"/>
      <protection/>
    </xf>
    <xf numFmtId="40" fontId="0" fillId="0" borderId="15" xfId="15" applyFont="1" applyFill="1" applyBorder="1" applyAlignment="1" applyProtection="1">
      <alignment vertical="center"/>
      <protection/>
    </xf>
    <xf numFmtId="0" fontId="7" fillId="0" borderId="16" xfId="0" applyFont="1" applyBorder="1" applyAlignment="1" applyProtection="1">
      <alignment horizontal="left" vertical="center" indent="2"/>
      <protection/>
    </xf>
    <xf numFmtId="0" fontId="0" fillId="0" borderId="17" xfId="0" applyFont="1" applyBorder="1" applyAlignment="1" applyProtection="1">
      <alignment horizontal="left" vertical="center" indent="3"/>
      <protection/>
    </xf>
    <xf numFmtId="0" fontId="0" fillId="0" borderId="17" xfId="0" applyFont="1" applyBorder="1" applyAlignment="1" applyProtection="1">
      <alignment vertical="center"/>
      <protection/>
    </xf>
    <xf numFmtId="40" fontId="0" fillId="0" borderId="18" xfId="15" applyFont="1" applyFill="1" applyBorder="1" applyAlignment="1" applyProtection="1">
      <alignment vertical="center"/>
      <protection/>
    </xf>
    <xf numFmtId="0" fontId="0" fillId="0" borderId="3" xfId="0" applyBorder="1" applyAlignment="1" applyProtection="1">
      <alignment vertical="center"/>
      <protection/>
    </xf>
    <xf numFmtId="0" fontId="24" fillId="0" borderId="0" xfId="0" applyFont="1" applyBorder="1" applyAlignment="1" applyProtection="1">
      <alignment vertical="center"/>
      <protection/>
    </xf>
    <xf numFmtId="0" fontId="24" fillId="0" borderId="0" xfId="0" applyFont="1" applyBorder="1" applyAlignment="1" applyProtection="1">
      <alignment horizontal="left" vertical="center" indent="3"/>
      <protection/>
    </xf>
    <xf numFmtId="0" fontId="7" fillId="0" borderId="10" xfId="0" applyFont="1" applyBorder="1" applyAlignment="1" applyProtection="1">
      <alignment horizontal="left" vertical="top" indent="2"/>
      <protection/>
    </xf>
    <xf numFmtId="0" fontId="7" fillId="0" borderId="10" xfId="0" applyFont="1" applyBorder="1" applyAlignment="1">
      <alignment horizontal="left" vertical="center" indent="2"/>
    </xf>
    <xf numFmtId="0" fontId="7" fillId="0" borderId="10" xfId="0" applyFont="1" applyBorder="1" applyAlignment="1">
      <alignment vertical="center"/>
    </xf>
    <xf numFmtId="0" fontId="17" fillId="2" borderId="1"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xf>
    <xf numFmtId="0" fontId="18" fillId="3" borderId="7" xfId="0" applyFont="1" applyFill="1" applyBorder="1" applyAlignment="1" applyProtection="1">
      <alignment horizontal="center" vertical="center"/>
      <protection/>
    </xf>
    <xf numFmtId="0" fontId="18" fillId="3" borderId="9" xfId="0" applyFont="1" applyFill="1" applyBorder="1" applyAlignment="1" applyProtection="1">
      <alignment horizontal="center" vertical="center"/>
      <protection/>
    </xf>
    <xf numFmtId="0" fontId="18" fillId="3" borderId="4" xfId="0" applyFont="1" applyFill="1" applyBorder="1" applyAlignment="1" applyProtection="1">
      <alignment horizontal="center" vertical="center"/>
      <protection/>
    </xf>
    <xf numFmtId="8" fontId="5" fillId="3" borderId="8" xfId="0" applyNumberFormat="1" applyFont="1" applyFill="1" applyBorder="1" applyAlignment="1" applyProtection="1">
      <alignment horizontal="center" vertical="center"/>
      <protection/>
    </xf>
    <xf numFmtId="8" fontId="5" fillId="3" borderId="5" xfId="0" applyNumberFormat="1" applyFont="1" applyFill="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6" fillId="0" borderId="8"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3"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Normal_Book1" xfId="19"/>
    <cellStyle name="Percent" xfId="20"/>
    <cellStyle name="Units"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181</xdr:row>
      <xdr:rowOff>0</xdr:rowOff>
    </xdr:from>
    <xdr:to>
      <xdr:col>9</xdr:col>
      <xdr:colOff>0</xdr:colOff>
      <xdr:row>181</xdr:row>
      <xdr:rowOff>0</xdr:rowOff>
    </xdr:to>
    <xdr:sp>
      <xdr:nvSpPr>
        <xdr:cNvPr id="1" name="Text 5"/>
        <xdr:cNvSpPr txBox="1">
          <a:spLocks noChangeArrowheads="1"/>
        </xdr:cNvSpPr>
      </xdr:nvSpPr>
      <xdr:spPr>
        <a:xfrm>
          <a:off x="219075" y="27584400"/>
          <a:ext cx="7019925" cy="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Based on district MEM (Basic 1-12, Special Education C and D, Non-Profit and Operational Fund Childhood FTE) a district is eligible for units as follows:
</a:t>
          </a:r>
        </a:p>
      </xdr:txBody>
    </xdr:sp>
    <xdr:clientData/>
  </xdr:twoCellAnchor>
  <xdr:twoCellAnchor>
    <xdr:from>
      <xdr:col>0</xdr:col>
      <xdr:colOff>0</xdr:colOff>
      <xdr:row>136</xdr:row>
      <xdr:rowOff>9525</xdr:rowOff>
    </xdr:from>
    <xdr:to>
      <xdr:col>0</xdr:col>
      <xdr:colOff>0</xdr:colOff>
      <xdr:row>161</xdr:row>
      <xdr:rowOff>28575</xdr:rowOff>
    </xdr:to>
    <xdr:sp>
      <xdr:nvSpPr>
        <xdr:cNvPr id="2" name="Text 7"/>
        <xdr:cNvSpPr txBox="1">
          <a:spLocks noChangeArrowheads="1"/>
        </xdr:cNvSpPr>
      </xdr:nvSpPr>
      <xdr:spPr>
        <a:xfrm>
          <a:off x="0" y="20735925"/>
          <a:ext cx="0" cy="3829050"/>
        </a:xfrm>
        <a:prstGeom prst="rect">
          <a:avLst/>
        </a:prstGeom>
        <a:noFill/>
        <a:ln w="9525" cmpd="sng">
          <a:solidFill>
            <a:srgbClr val="000000"/>
          </a:solidFill>
          <a:headEnd type="none"/>
          <a:tailEnd type="none"/>
        </a:ln>
      </xdr:spPr>
      <xdr:txBody>
        <a:bodyPr vertOverflow="clip" wrap="square" lIns="45720" tIns="45720" rIns="45720" bIns="45720"/>
        <a:p>
          <a:pPr algn="l">
            <a:defRPr/>
          </a:pPr>
          <a:r>
            <a:rPr lang="en-US" cap="none" sz="800" b="0" i="0" u="none" baseline="0">
              <a:latin typeface="Arial"/>
              <a:ea typeface="Arial"/>
              <a:cs typeface="Arial"/>
            </a:rPr>
            <a:t>GRADES INCLUDED MUST AGREE WITH THE SCHOOL ORGANIZATION PLAN APPROVED BY THE STATE DEPARTMENT OF EDUCATION AND INCLUDED IN OCTOBER PROJECTIONS FOR THE LEGISLATIVE APPROPRIATION REQUEST PER SBE REG. A.3.1.2. Section 22-8-23 NMSA 1978 states "Separate schools established to provide special programs, including but not limited to vocational and alternative education, shall not be classified as public schools for purposes of generating size adjustment program units."
</a:t>
          </a:r>
        </a:p>
      </xdr:txBody>
    </xdr:sp>
    <xdr:clientData/>
  </xdr:twoCellAnchor>
  <xdr:twoCellAnchor>
    <xdr:from>
      <xdr:col>0</xdr:col>
      <xdr:colOff>0</xdr:colOff>
      <xdr:row>163</xdr:row>
      <xdr:rowOff>0</xdr:rowOff>
    </xdr:from>
    <xdr:to>
      <xdr:col>0</xdr:col>
      <xdr:colOff>0</xdr:colOff>
      <xdr:row>178</xdr:row>
      <xdr:rowOff>0</xdr:rowOff>
    </xdr:to>
    <xdr:sp>
      <xdr:nvSpPr>
        <xdr:cNvPr id="3" name="Text 7"/>
        <xdr:cNvSpPr txBox="1">
          <a:spLocks noChangeArrowheads="1"/>
        </xdr:cNvSpPr>
      </xdr:nvSpPr>
      <xdr:spPr>
        <a:xfrm>
          <a:off x="0" y="24841200"/>
          <a:ext cx="0" cy="2286000"/>
        </a:xfrm>
        <a:prstGeom prst="rect">
          <a:avLst/>
        </a:prstGeom>
        <a:noFill/>
        <a:ln w="9525" cmpd="sng">
          <a:solidFill>
            <a:srgbClr val="000000"/>
          </a:solidFill>
          <a:headEnd type="none"/>
          <a:tailEnd type="none"/>
        </a:ln>
      </xdr:spPr>
      <xdr:txBody>
        <a:bodyPr vertOverflow="clip" wrap="square" lIns="45720" tIns="45720" rIns="45720" bIns="45720"/>
        <a:p>
          <a:pPr algn="l">
            <a:defRPr/>
          </a:pPr>
          <a:r>
            <a:rPr lang="en-US" cap="none" sz="800" b="0" i="0" u="sng" baseline="0">
              <a:latin typeface="Arial"/>
              <a:ea typeface="Arial"/>
              <a:cs typeface="Arial"/>
            </a:rPr>
            <a:t>SCHOOL SIZE</a:t>
          </a:r>
          <a:r>
            <a:rPr lang="en-US" cap="none" sz="800" b="0" i="0" u="none" baseline="0">
              <a:latin typeface="Arial"/>
              <a:ea typeface="Arial"/>
              <a:cs typeface="Arial"/>
            </a:rPr>
            <a:t>
When calculating elementary, junior high, and senior high school size adjustments, exclude the membership of students receiving C- and D-level services and the full-time equivalent membership of students receiving DD-level services.  (§22-8-23.A NMSA 1978, 1997 Supplement)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17"/>
  <sheetViews>
    <sheetView tabSelected="1" zoomScale="75" zoomScaleNormal="75" workbookViewId="0" topLeftCell="A1">
      <selection activeCell="E6" sqref="E6"/>
    </sheetView>
  </sheetViews>
  <sheetFormatPr defaultColWidth="9.33203125" defaultRowHeight="12" customHeight="1"/>
  <cols>
    <col min="1" max="1" width="3.83203125" style="92" customWidth="1"/>
    <col min="2" max="4" width="15" style="4" customWidth="1"/>
    <col min="5" max="5" width="16.33203125" style="4" customWidth="1"/>
    <col min="6" max="8" width="15" style="4" customWidth="1"/>
    <col min="9" max="9" width="16.5" style="4" customWidth="1"/>
    <col min="10" max="10" width="9.83203125" style="4" bestFit="1" customWidth="1"/>
    <col min="11" max="16384" width="9.33203125" style="4" customWidth="1"/>
  </cols>
  <sheetData>
    <row r="1" spans="1:9" ht="12" customHeight="1">
      <c r="A1" s="96"/>
      <c r="B1" s="3"/>
      <c r="C1" s="3"/>
      <c r="D1" s="3"/>
      <c r="E1" s="3"/>
      <c r="F1" s="3"/>
      <c r="G1" s="3"/>
      <c r="H1" s="3"/>
      <c r="I1" s="3"/>
    </row>
    <row r="2" spans="1:9" s="135" customFormat="1" ht="12" customHeight="1">
      <c r="A2" s="191"/>
      <c r="B2" s="192" t="str">
        <f>IF($D$27="N","District Name","Charter School Name")</f>
        <v>District Name</v>
      </c>
      <c r="C2" s="129"/>
      <c r="D2" s="241" t="s">
        <v>184</v>
      </c>
      <c r="E2" s="241"/>
      <c r="H2" s="193" t="str">
        <f>IF($D$27="N","District Number","Charter School Number ")</f>
        <v>District Number</v>
      </c>
      <c r="I2" s="139">
        <v>19</v>
      </c>
    </row>
    <row r="3" spans="1:9" ht="12" customHeight="1">
      <c r="A3" s="142"/>
      <c r="B3" s="9"/>
      <c r="C3" s="10"/>
      <c r="D3" s="10"/>
      <c r="E3" s="10"/>
      <c r="F3" s="10"/>
      <c r="G3" s="11"/>
      <c r="H3" s="11"/>
      <c r="I3" s="11"/>
    </row>
    <row r="4" spans="1:13" s="111" customFormat="1" ht="12" customHeight="1">
      <c r="A4" s="143"/>
      <c r="C4" s="112"/>
      <c r="D4" s="112"/>
      <c r="E4" s="112" t="s">
        <v>2</v>
      </c>
      <c r="F4" s="113" t="s">
        <v>3</v>
      </c>
      <c r="G4" s="113"/>
      <c r="H4" s="113"/>
      <c r="I4" s="113" t="s">
        <v>4</v>
      </c>
      <c r="K4" s="114"/>
      <c r="L4" s="114"/>
      <c r="M4" s="114"/>
    </row>
    <row r="5" spans="1:13" s="106" customFormat="1" ht="12" customHeight="1">
      <c r="A5" s="144"/>
      <c r="C5" s="107" t="s">
        <v>5</v>
      </c>
      <c r="D5" s="108" t="s">
        <v>6</v>
      </c>
      <c r="E5" s="108" t="s">
        <v>7</v>
      </c>
      <c r="F5" s="109" t="s">
        <v>8</v>
      </c>
      <c r="G5" s="11"/>
      <c r="H5" s="109" t="s">
        <v>9</v>
      </c>
      <c r="I5" s="109" t="s">
        <v>10</v>
      </c>
      <c r="K5" s="110"/>
      <c r="L5" s="110"/>
      <c r="M5" s="110"/>
    </row>
    <row r="6" spans="1:14" s="12" customFormat="1" ht="12" customHeight="1">
      <c r="A6" s="91" t="s">
        <v>87</v>
      </c>
      <c r="C6" s="14"/>
      <c r="D6" s="15"/>
      <c r="E6" s="15"/>
      <c r="F6" s="13"/>
      <c r="G6" s="113"/>
      <c r="H6" s="13"/>
      <c r="I6" s="13"/>
      <c r="K6" s="2"/>
      <c r="L6" s="2"/>
      <c r="M6" s="2"/>
      <c r="N6" s="111"/>
    </row>
    <row r="7" spans="1:14" ht="12" customHeight="1">
      <c r="A7" s="91"/>
      <c r="B7" s="47" t="s">
        <v>158</v>
      </c>
      <c r="C7" s="17">
        <v>93.33</v>
      </c>
      <c r="D7" s="17">
        <v>120</v>
      </c>
      <c r="E7" s="17"/>
      <c r="F7" s="17">
        <v>3</v>
      </c>
      <c r="G7" s="11"/>
      <c r="H7" s="17"/>
      <c r="I7" s="18">
        <f>SUM(C7:H7)</f>
        <v>216.32999999999998</v>
      </c>
      <c r="K7" s="2"/>
      <c r="L7" s="2"/>
      <c r="M7" s="2"/>
      <c r="N7" s="106"/>
    </row>
    <row r="8" spans="1:14" ht="12" customHeight="1">
      <c r="A8" s="91"/>
      <c r="B8" s="47" t="s">
        <v>155</v>
      </c>
      <c r="C8" s="17"/>
      <c r="D8" s="17"/>
      <c r="E8" s="17"/>
      <c r="F8" s="17"/>
      <c r="G8" s="113"/>
      <c r="H8" s="17"/>
      <c r="I8" s="18">
        <f>SUM(C8:H8)</f>
        <v>0</v>
      </c>
      <c r="K8" s="2"/>
      <c r="L8" s="2"/>
      <c r="M8" s="2"/>
      <c r="N8" s="111"/>
    </row>
    <row r="9" spans="1:14" ht="12" customHeight="1">
      <c r="A9" s="91"/>
      <c r="B9" s="47" t="s">
        <v>88</v>
      </c>
      <c r="C9" s="21"/>
      <c r="D9" s="22"/>
      <c r="E9" s="23">
        <v>8.33</v>
      </c>
      <c r="F9" s="24">
        <v>61</v>
      </c>
      <c r="G9" s="11"/>
      <c r="H9" s="24">
        <v>1026.67</v>
      </c>
      <c r="I9" s="18">
        <f>SUM(C9:H9)</f>
        <v>1096</v>
      </c>
      <c r="K9" s="2"/>
      <c r="L9" s="2"/>
      <c r="M9" s="2"/>
      <c r="N9" s="106"/>
    </row>
    <row r="10" spans="1:13" ht="12" customHeight="1">
      <c r="A10" s="92" t="s">
        <v>11</v>
      </c>
      <c r="C10" s="21"/>
      <c r="D10" s="18"/>
      <c r="E10" s="25"/>
      <c r="F10" s="18"/>
      <c r="G10" s="113"/>
      <c r="H10" s="18"/>
      <c r="I10" s="18"/>
      <c r="K10" s="2"/>
      <c r="L10" s="2"/>
      <c r="M10" s="2"/>
    </row>
    <row r="11" spans="2:13" ht="12" customHeight="1">
      <c r="B11" s="16" t="s">
        <v>12</v>
      </c>
      <c r="C11" s="26"/>
      <c r="D11" s="18"/>
      <c r="E11" s="27">
        <v>15.67</v>
      </c>
      <c r="F11" s="27">
        <v>12</v>
      </c>
      <c r="G11" s="11"/>
      <c r="H11" s="27">
        <v>1050</v>
      </c>
      <c r="I11" s="18">
        <f aca="true" t="shared" si="0" ref="I11:I22">SUM(E11:H11)</f>
        <v>1077.67</v>
      </c>
      <c r="K11" s="2"/>
      <c r="L11" s="2"/>
      <c r="M11" s="2"/>
    </row>
    <row r="12" spans="2:13" ht="12" customHeight="1">
      <c r="B12" s="16" t="s">
        <v>13</v>
      </c>
      <c r="C12" s="26"/>
      <c r="D12" s="18"/>
      <c r="E12" s="27">
        <v>27.67</v>
      </c>
      <c r="F12" s="27">
        <v>9.33</v>
      </c>
      <c r="G12" s="113"/>
      <c r="H12" s="27">
        <v>971.67</v>
      </c>
      <c r="I12" s="18">
        <f t="shared" si="0"/>
        <v>1008.67</v>
      </c>
      <c r="K12" s="28"/>
      <c r="M12" s="29"/>
    </row>
    <row r="13" spans="2:13" ht="12" customHeight="1">
      <c r="B13" s="16" t="s">
        <v>14</v>
      </c>
      <c r="C13" s="26"/>
      <c r="D13" s="18"/>
      <c r="E13" s="27">
        <v>28</v>
      </c>
      <c r="F13" s="27">
        <v>20.67</v>
      </c>
      <c r="G13" s="11"/>
      <c r="H13" s="27">
        <v>954.33</v>
      </c>
      <c r="I13" s="18">
        <f t="shared" si="0"/>
        <v>1003</v>
      </c>
      <c r="K13" s="28"/>
      <c r="M13" s="29"/>
    </row>
    <row r="14" spans="2:13" ht="12" customHeight="1">
      <c r="B14" s="16" t="s">
        <v>15</v>
      </c>
      <c r="C14" s="26"/>
      <c r="D14" s="18"/>
      <c r="E14" s="27">
        <v>38</v>
      </c>
      <c r="F14" s="27">
        <v>21.33</v>
      </c>
      <c r="G14" s="113"/>
      <c r="H14" s="27">
        <v>1058</v>
      </c>
      <c r="I14" s="18">
        <f t="shared" si="0"/>
        <v>1117.33</v>
      </c>
      <c r="K14" s="28"/>
      <c r="M14" s="29"/>
    </row>
    <row r="15" spans="2:13" ht="12" customHeight="1">
      <c r="B15" s="16" t="s">
        <v>16</v>
      </c>
      <c r="C15" s="26"/>
      <c r="D15" s="18"/>
      <c r="E15" s="27">
        <v>57.33</v>
      </c>
      <c r="F15" s="27">
        <v>28.67</v>
      </c>
      <c r="G15" s="11"/>
      <c r="H15" s="27">
        <v>1022.67</v>
      </c>
      <c r="I15" s="18">
        <f t="shared" si="0"/>
        <v>1108.67</v>
      </c>
      <c r="K15" s="28"/>
      <c r="M15" s="29"/>
    </row>
    <row r="16" spans="2:13" ht="12" customHeight="1">
      <c r="B16" s="16" t="s">
        <v>17</v>
      </c>
      <c r="C16" s="26"/>
      <c r="D16" s="18"/>
      <c r="E16" s="27">
        <v>63</v>
      </c>
      <c r="F16" s="27">
        <v>26.33</v>
      </c>
      <c r="G16" s="113"/>
      <c r="H16" s="27">
        <v>1020</v>
      </c>
      <c r="I16" s="18">
        <f t="shared" si="0"/>
        <v>1109.33</v>
      </c>
      <c r="K16" s="28"/>
      <c r="M16" s="29"/>
    </row>
    <row r="17" spans="2:13" ht="12" customHeight="1">
      <c r="B17" s="16" t="s">
        <v>18</v>
      </c>
      <c r="C17" s="26"/>
      <c r="D17" s="18"/>
      <c r="E17" s="27">
        <v>86.67</v>
      </c>
      <c r="F17" s="27">
        <v>23</v>
      </c>
      <c r="G17" s="11"/>
      <c r="H17" s="27">
        <v>1080</v>
      </c>
      <c r="I17" s="18">
        <f t="shared" si="0"/>
        <v>1189.67</v>
      </c>
      <c r="K17" s="28"/>
      <c r="M17" s="29"/>
    </row>
    <row r="18" spans="2:13" ht="12" customHeight="1">
      <c r="B18" s="16" t="s">
        <v>19</v>
      </c>
      <c r="C18" s="26"/>
      <c r="D18" s="18"/>
      <c r="E18" s="27">
        <v>87</v>
      </c>
      <c r="F18" s="27">
        <v>28.67</v>
      </c>
      <c r="G18" s="113"/>
      <c r="H18" s="27">
        <v>1003.66</v>
      </c>
      <c r="I18" s="18">
        <f t="shared" si="0"/>
        <v>1119.33</v>
      </c>
      <c r="K18" s="28"/>
      <c r="M18" s="29"/>
    </row>
    <row r="19" spans="2:13" ht="12" customHeight="1">
      <c r="B19" s="16" t="s">
        <v>20</v>
      </c>
      <c r="C19" s="26"/>
      <c r="D19" s="18"/>
      <c r="E19" s="27">
        <v>84.67</v>
      </c>
      <c r="F19" s="27">
        <v>36.33</v>
      </c>
      <c r="G19" s="11"/>
      <c r="H19" s="27">
        <v>1133.67</v>
      </c>
      <c r="I19" s="18">
        <f t="shared" si="0"/>
        <v>1254.67</v>
      </c>
      <c r="K19" s="28"/>
      <c r="M19" s="29"/>
    </row>
    <row r="20" spans="2:13" ht="12" customHeight="1">
      <c r="B20" s="16" t="s">
        <v>21</v>
      </c>
      <c r="C20" s="26"/>
      <c r="D20" s="18"/>
      <c r="E20" s="27">
        <v>65.67</v>
      </c>
      <c r="F20" s="27">
        <v>13.33</v>
      </c>
      <c r="G20" s="113"/>
      <c r="H20" s="27">
        <v>837.33</v>
      </c>
      <c r="I20" s="18">
        <f t="shared" si="0"/>
        <v>916.33</v>
      </c>
      <c r="K20" s="28"/>
      <c r="M20" s="29"/>
    </row>
    <row r="21" spans="2:13" ht="12" customHeight="1">
      <c r="B21" s="16" t="s">
        <v>22</v>
      </c>
      <c r="C21" s="26"/>
      <c r="D21" s="18"/>
      <c r="E21" s="27">
        <v>44</v>
      </c>
      <c r="F21" s="27">
        <v>12</v>
      </c>
      <c r="G21" s="11"/>
      <c r="H21" s="27">
        <v>754.67</v>
      </c>
      <c r="I21" s="18">
        <f t="shared" si="0"/>
        <v>810.67</v>
      </c>
      <c r="K21" s="28"/>
      <c r="M21" s="29"/>
    </row>
    <row r="22" spans="2:13" ht="12" customHeight="1">
      <c r="B22" s="16" t="s">
        <v>23</v>
      </c>
      <c r="C22" s="30"/>
      <c r="D22" s="31"/>
      <c r="E22" s="32">
        <v>44</v>
      </c>
      <c r="F22" s="32">
        <v>18</v>
      </c>
      <c r="G22" s="113"/>
      <c r="H22" s="32">
        <v>601</v>
      </c>
      <c r="I22" s="18">
        <f t="shared" si="0"/>
        <v>663</v>
      </c>
      <c r="K22" s="28"/>
      <c r="M22" s="29"/>
    </row>
    <row r="23" spans="2:9" ht="12" customHeight="1">
      <c r="B23" s="33" t="s">
        <v>80</v>
      </c>
      <c r="C23" s="18">
        <f>SUM(C7:C22)</f>
        <v>93.33</v>
      </c>
      <c r="D23" s="18">
        <f>SUM(D7:D22)</f>
        <v>120</v>
      </c>
      <c r="E23" s="18">
        <f>SUM(E7:E22)</f>
        <v>650.01</v>
      </c>
      <c r="F23" s="18">
        <f>ROUND(SUM(F7:F22),2)</f>
        <v>313.66</v>
      </c>
      <c r="G23" s="11"/>
      <c r="H23" s="18">
        <f>SUM(H7:H22)</f>
        <v>12513.67</v>
      </c>
      <c r="I23" s="18"/>
    </row>
    <row r="24" spans="1:13" ht="12" customHeight="1">
      <c r="A24" s="96"/>
      <c r="B24" s="16" t="s">
        <v>25</v>
      </c>
      <c r="H24" s="34" t="s">
        <v>24</v>
      </c>
      <c r="I24" s="35">
        <f>ROUND(((I7+I8)/2)+I9,2)</f>
        <v>1204.17</v>
      </c>
      <c r="K24" s="28"/>
      <c r="M24" s="29"/>
    </row>
    <row r="25" spans="1:13" ht="12" customHeight="1" thickBot="1">
      <c r="A25" s="96"/>
      <c r="B25" s="16"/>
      <c r="H25" s="34" t="s">
        <v>26</v>
      </c>
      <c r="I25" s="36">
        <f>SUM(I11:I22)</f>
        <v>12378.34</v>
      </c>
      <c r="K25" s="28"/>
      <c r="M25" s="29"/>
    </row>
    <row r="26" spans="2:13" ht="12" customHeight="1">
      <c r="B26" s="185"/>
      <c r="C26" s="186"/>
      <c r="D26" s="187"/>
      <c r="H26" s="37" t="s">
        <v>81</v>
      </c>
      <c r="I26" s="38">
        <f>ROUND(SUM(I24:I25),2)</f>
        <v>13582.51</v>
      </c>
      <c r="K26" s="28"/>
      <c r="M26" s="29"/>
    </row>
    <row r="27" spans="2:9" ht="12" customHeight="1" thickBot="1">
      <c r="B27" s="254" t="s">
        <v>162</v>
      </c>
      <c r="C27" s="255"/>
      <c r="D27" s="190" t="s">
        <v>133</v>
      </c>
      <c r="H27" s="129" t="str">
        <f>IF(D27="N","Charter School Mem (for District size calculations)"," ")</f>
        <v>Charter School Mem (for District size calculations)</v>
      </c>
      <c r="I27" s="146">
        <v>0</v>
      </c>
    </row>
    <row r="28" spans="1:13" ht="12" customHeight="1" thickTop="1">
      <c r="A28" s="118"/>
      <c r="B28" s="206"/>
      <c r="C28" s="8"/>
      <c r="D28" s="126"/>
      <c r="E28" s="39"/>
      <c r="H28" s="37" t="s">
        <v>27</v>
      </c>
      <c r="I28" s="38">
        <f>SUM(I26:I27)</f>
        <v>13582.51</v>
      </c>
      <c r="K28" s="28"/>
      <c r="M28" s="29"/>
    </row>
    <row r="29" spans="1:13" ht="12" customHeight="1">
      <c r="A29" s="118"/>
      <c r="B29" s="254" t="s">
        <v>163</v>
      </c>
      <c r="C29" s="255"/>
      <c r="D29" s="190" t="s">
        <v>133</v>
      </c>
      <c r="E29" s="39"/>
      <c r="H29" s="37"/>
      <c r="I29" s="38"/>
      <c r="K29" s="28"/>
      <c r="M29" s="29"/>
    </row>
    <row r="30" spans="1:13" ht="12" customHeight="1" thickBot="1">
      <c r="A30" s="118"/>
      <c r="B30" s="188"/>
      <c r="C30" s="127"/>
      <c r="D30" s="189"/>
      <c r="E30" s="39"/>
      <c r="H30" s="37"/>
      <c r="I30" s="38"/>
      <c r="K30" s="28"/>
      <c r="M30" s="29"/>
    </row>
    <row r="31" spans="1:13" ht="12" customHeight="1">
      <c r="A31" s="118"/>
      <c r="B31" s="16"/>
      <c r="E31" s="39"/>
      <c r="H31" s="37"/>
      <c r="I31" s="38"/>
      <c r="K31" s="28"/>
      <c r="M31" s="29"/>
    </row>
    <row r="32" spans="1:13" ht="12" customHeight="1">
      <c r="A32" s="96"/>
      <c r="B32" s="2"/>
      <c r="D32" s="120" t="s">
        <v>28</v>
      </c>
      <c r="E32" s="121" t="s">
        <v>29</v>
      </c>
      <c r="F32" s="121" t="s">
        <v>30</v>
      </c>
      <c r="H32" s="2"/>
      <c r="I32" s="42"/>
      <c r="K32" s="28"/>
      <c r="M32" s="29"/>
    </row>
    <row r="33" spans="1:9" ht="12" customHeight="1">
      <c r="A33" s="96"/>
      <c r="B33" s="2"/>
      <c r="D33" s="122" t="s">
        <v>32</v>
      </c>
      <c r="E33" s="123" t="s">
        <v>33</v>
      </c>
      <c r="F33" s="124" t="s">
        <v>34</v>
      </c>
      <c r="H33" s="2"/>
      <c r="I33" s="42"/>
    </row>
    <row r="34" spans="1:8" ht="12" customHeight="1">
      <c r="A34" s="96" t="s">
        <v>90</v>
      </c>
      <c r="B34" s="2"/>
      <c r="D34" s="2"/>
      <c r="E34" s="119"/>
      <c r="F34" s="2"/>
      <c r="H34" s="2"/>
    </row>
    <row r="35" spans="2:9" ht="12" customHeight="1">
      <c r="B35" s="74" t="s">
        <v>92</v>
      </c>
      <c r="D35" s="44">
        <f>I24</f>
        <v>1204.17</v>
      </c>
      <c r="E35" s="45">
        <v>1.44</v>
      </c>
      <c r="F35" s="29">
        <f>ROUND(D35*E35,3)</f>
        <v>1734.005</v>
      </c>
      <c r="H35" s="105" t="s">
        <v>99</v>
      </c>
      <c r="I35" s="19">
        <f>ROUND(F35,3)</f>
        <v>1734.005</v>
      </c>
    </row>
    <row r="36" spans="1:9" ht="12" customHeight="1">
      <c r="A36" s="91"/>
      <c r="D36" s="44"/>
      <c r="E36" s="45"/>
      <c r="F36" s="45"/>
      <c r="H36" s="2"/>
      <c r="I36" s="19"/>
    </row>
    <row r="37" spans="1:6" ht="12" customHeight="1">
      <c r="A37" s="92" t="s">
        <v>78</v>
      </c>
      <c r="D37" s="44"/>
      <c r="E37" s="45"/>
      <c r="F37" s="45"/>
    </row>
    <row r="38" spans="2:6" ht="12" customHeight="1">
      <c r="B38" s="16" t="s">
        <v>12</v>
      </c>
      <c r="D38" s="44">
        <f>I11</f>
        <v>1077.67</v>
      </c>
      <c r="E38" s="45">
        <v>1.2</v>
      </c>
      <c r="F38" s="29">
        <f aca="true" t="shared" si="1" ref="F38:F49">ROUND(D38*E38,3)</f>
        <v>1293.204</v>
      </c>
    </row>
    <row r="39" spans="2:6" ht="12" customHeight="1">
      <c r="B39" s="16" t="s">
        <v>13</v>
      </c>
      <c r="D39" s="44">
        <f aca="true" t="shared" si="2" ref="D39:D49">I12</f>
        <v>1008.67</v>
      </c>
      <c r="E39" s="45">
        <v>1.18</v>
      </c>
      <c r="F39" s="29">
        <f t="shared" si="1"/>
        <v>1190.231</v>
      </c>
    </row>
    <row r="40" spans="2:6" ht="12" customHeight="1">
      <c r="B40" s="16" t="s">
        <v>14</v>
      </c>
      <c r="D40" s="44">
        <f t="shared" si="2"/>
        <v>1003</v>
      </c>
      <c r="E40" s="45">
        <v>1.18</v>
      </c>
      <c r="F40" s="29">
        <f t="shared" si="1"/>
        <v>1183.54</v>
      </c>
    </row>
    <row r="41" spans="2:6" ht="12" customHeight="1">
      <c r="B41" s="16" t="s">
        <v>15</v>
      </c>
      <c r="D41" s="44">
        <f t="shared" si="2"/>
        <v>1117.33</v>
      </c>
      <c r="E41" s="45">
        <v>1.045</v>
      </c>
      <c r="F41" s="29">
        <f t="shared" si="1"/>
        <v>1167.61</v>
      </c>
    </row>
    <row r="42" spans="2:9" ht="12" customHeight="1">
      <c r="B42" s="16" t="s">
        <v>16</v>
      </c>
      <c r="D42" s="44">
        <f t="shared" si="2"/>
        <v>1108.67</v>
      </c>
      <c r="E42" s="45">
        <v>1.045</v>
      </c>
      <c r="F42" s="29">
        <f t="shared" si="1"/>
        <v>1158.56</v>
      </c>
      <c r="I42" s="47" t="s">
        <v>0</v>
      </c>
    </row>
    <row r="43" spans="2:6" ht="12" customHeight="1">
      <c r="B43" s="16" t="s">
        <v>17</v>
      </c>
      <c r="D43" s="44">
        <f t="shared" si="2"/>
        <v>1109.33</v>
      </c>
      <c r="E43" s="45">
        <v>1.045</v>
      </c>
      <c r="F43" s="29">
        <f t="shared" si="1"/>
        <v>1159.25</v>
      </c>
    </row>
    <row r="44" spans="2:6" ht="12" customHeight="1">
      <c r="B44" s="20" t="s">
        <v>93</v>
      </c>
      <c r="D44" s="44">
        <f t="shared" si="2"/>
        <v>1189.67</v>
      </c>
      <c r="E44" s="45">
        <v>1.25</v>
      </c>
      <c r="F44" s="29">
        <f t="shared" si="1"/>
        <v>1487.088</v>
      </c>
    </row>
    <row r="45" spans="2:6" ht="12" customHeight="1">
      <c r="B45" s="20" t="s">
        <v>94</v>
      </c>
      <c r="D45" s="44">
        <f t="shared" si="2"/>
        <v>1119.33</v>
      </c>
      <c r="E45" s="45">
        <v>1.25</v>
      </c>
      <c r="F45" s="29">
        <f t="shared" si="1"/>
        <v>1399.163</v>
      </c>
    </row>
    <row r="46" spans="2:6" ht="12" customHeight="1">
      <c r="B46" s="20" t="s">
        <v>95</v>
      </c>
      <c r="D46" s="44">
        <f t="shared" si="2"/>
        <v>1254.67</v>
      </c>
      <c r="E46" s="45">
        <v>1.25</v>
      </c>
      <c r="F46" s="29">
        <f t="shared" si="1"/>
        <v>1568.338</v>
      </c>
    </row>
    <row r="47" spans="2:6" ht="12" customHeight="1">
      <c r="B47" s="20" t="s">
        <v>96</v>
      </c>
      <c r="D47" s="44">
        <f t="shared" si="2"/>
        <v>916.33</v>
      </c>
      <c r="E47" s="45">
        <v>1.25</v>
      </c>
      <c r="F47" s="29">
        <f t="shared" si="1"/>
        <v>1145.413</v>
      </c>
    </row>
    <row r="48" spans="2:6" ht="12" customHeight="1">
      <c r="B48" s="20" t="s">
        <v>97</v>
      </c>
      <c r="D48" s="44">
        <f t="shared" si="2"/>
        <v>810.67</v>
      </c>
      <c r="E48" s="45">
        <v>1.25</v>
      </c>
      <c r="F48" s="29">
        <f t="shared" si="1"/>
        <v>1013.338</v>
      </c>
    </row>
    <row r="49" spans="2:8" ht="12" customHeight="1">
      <c r="B49" s="20" t="s">
        <v>98</v>
      </c>
      <c r="D49" s="44">
        <f t="shared" si="2"/>
        <v>663</v>
      </c>
      <c r="E49" s="45">
        <v>1.25</v>
      </c>
      <c r="F49" s="29">
        <f t="shared" si="1"/>
        <v>828.75</v>
      </c>
      <c r="H49" s="2"/>
    </row>
    <row r="50" spans="2:4" ht="12" customHeight="1">
      <c r="B50" s="16"/>
      <c r="D50" s="116" t="s">
        <v>77</v>
      </c>
    </row>
    <row r="51" spans="2:9" ht="12" customHeight="1">
      <c r="B51" s="16"/>
      <c r="D51" s="115"/>
      <c r="E51" s="115"/>
      <c r="F51" s="116"/>
      <c r="H51" s="105" t="s">
        <v>91</v>
      </c>
      <c r="I51" s="19">
        <f>SUM(F38:F49)</f>
        <v>14594.485</v>
      </c>
    </row>
    <row r="52" spans="1:5" ht="12" customHeight="1">
      <c r="A52" s="92" t="s">
        <v>35</v>
      </c>
      <c r="C52" s="44"/>
      <c r="D52" s="48" t="s">
        <v>1</v>
      </c>
      <c r="E52" s="152" t="s">
        <v>135</v>
      </c>
    </row>
    <row r="53" spans="2:7" ht="12" customHeight="1">
      <c r="B53" s="16" t="s">
        <v>36</v>
      </c>
      <c r="C53" s="44"/>
      <c r="D53" s="49">
        <f>TRUNC(E$23,2)</f>
        <v>650.01</v>
      </c>
      <c r="E53" s="45">
        <v>1</v>
      </c>
      <c r="F53" s="29">
        <f>ROUND(D53*E53,3)</f>
        <v>650.01</v>
      </c>
      <c r="G53" s="2"/>
    </row>
    <row r="54" spans="2:7" ht="12" customHeight="1">
      <c r="B54" s="16" t="s">
        <v>37</v>
      </c>
      <c r="C54" s="44"/>
      <c r="D54" s="49">
        <f>TRUNC(F$23,2)</f>
        <v>313.66</v>
      </c>
      <c r="E54" s="45">
        <v>2</v>
      </c>
      <c r="F54" s="29">
        <f>ROUND(D54*E54,3)</f>
        <v>627.32</v>
      </c>
      <c r="G54" s="2"/>
    </row>
    <row r="55" spans="2:7" ht="12" customHeight="1">
      <c r="B55" s="4" t="s">
        <v>38</v>
      </c>
      <c r="C55" s="44"/>
      <c r="D55" s="49">
        <f>TRUNC(C$23,2)</f>
        <v>93.33</v>
      </c>
      <c r="E55" s="45">
        <v>2</v>
      </c>
      <c r="F55" s="29">
        <f>ROUND(D55*E55,3)</f>
        <v>186.66</v>
      </c>
      <c r="G55" s="2"/>
    </row>
    <row r="56" spans="2:7" ht="12" customHeight="1">
      <c r="B56" s="4" t="s">
        <v>39</v>
      </c>
      <c r="C56" s="44"/>
      <c r="D56" s="49">
        <f>TRUNC(D$23,2)</f>
        <v>120</v>
      </c>
      <c r="E56" s="45">
        <v>2</v>
      </c>
      <c r="F56" s="29">
        <f>ROUND(D56*E56,3)</f>
        <v>240</v>
      </c>
      <c r="G56" s="2"/>
    </row>
    <row r="57" spans="1:8" ht="12" customHeight="1">
      <c r="A57" s="96"/>
      <c r="B57" s="16" t="s">
        <v>40</v>
      </c>
      <c r="C57" s="44"/>
      <c r="D57" s="50">
        <v>966</v>
      </c>
      <c r="E57" s="45">
        <v>0.7</v>
      </c>
      <c r="F57" s="29">
        <f>ROUND(D57*E57,3)</f>
        <v>676.2</v>
      </c>
      <c r="G57" s="184">
        <f>SUM(F53:F57)</f>
        <v>2380.19</v>
      </c>
      <c r="H57" s="2"/>
    </row>
    <row r="58" spans="1:9" ht="12" customHeight="1">
      <c r="A58" s="196"/>
      <c r="B58" s="197"/>
      <c r="C58" s="198"/>
      <c r="D58" s="198"/>
      <c r="E58" s="44"/>
      <c r="F58" s="44"/>
      <c r="G58" s="44"/>
      <c r="H58" s="2"/>
      <c r="I58" s="2"/>
    </row>
    <row r="59" spans="1:9" ht="12" customHeight="1">
      <c r="A59" s="199"/>
      <c r="B59" s="200" t="str">
        <f>IF($D$27="N","Ancillary FTE (Districtwide, incl. Charters)","Ancillary FTE - Charter School")</f>
        <v>Ancillary FTE (Districtwide, incl. Charters)</v>
      </c>
      <c r="C59" s="198"/>
      <c r="D59" s="198"/>
      <c r="E59" s="50">
        <f>64.95-0.01</f>
        <v>64.94</v>
      </c>
      <c r="F59" s="45"/>
      <c r="G59" s="44"/>
      <c r="H59" s="2"/>
      <c r="I59" s="2"/>
    </row>
    <row r="60" spans="1:9" ht="12" customHeight="1" thickBot="1">
      <c r="A60" s="199"/>
      <c r="B60" s="200" t="str">
        <f>IF($D$27="N","MINUS: Ancillary FTE (Charter School)","")</f>
        <v>MINUS: Ancillary FTE (Charter School)</v>
      </c>
      <c r="C60" s="198"/>
      <c r="D60" s="198"/>
      <c r="E60" s="90"/>
      <c r="F60" s="45"/>
      <c r="G60" s="29"/>
      <c r="H60" s="2"/>
      <c r="I60" s="2"/>
    </row>
    <row r="61" spans="1:9" ht="12" customHeight="1" thickTop="1">
      <c r="A61" s="199"/>
      <c r="B61" s="201" t="s">
        <v>150</v>
      </c>
      <c r="C61" s="198"/>
      <c r="D61" s="198"/>
      <c r="E61" s="51">
        <f>SUM(E59:E60)</f>
        <v>64.94</v>
      </c>
      <c r="F61" s="44">
        <v>25</v>
      </c>
      <c r="G61" s="29">
        <f>ROUND(E61*F61,3)</f>
        <v>1623.5</v>
      </c>
      <c r="H61" s="2"/>
      <c r="I61" s="2"/>
    </row>
    <row r="62" spans="1:9" ht="12" customHeight="1">
      <c r="A62" s="199"/>
      <c r="B62" s="201"/>
      <c r="C62" s="198"/>
      <c r="D62" s="198"/>
      <c r="E62" s="44"/>
      <c r="F62" s="44"/>
      <c r="G62" s="29"/>
      <c r="H62" s="2"/>
      <c r="I62" s="2"/>
    </row>
    <row r="63" spans="1:9" ht="12" customHeight="1">
      <c r="A63" s="96"/>
      <c r="C63" s="2"/>
      <c r="D63" s="2"/>
      <c r="E63" s="2"/>
      <c r="F63" s="2"/>
      <c r="H63" s="105" t="s">
        <v>89</v>
      </c>
      <c r="I63" s="19">
        <f>SUM(G57:G61)</f>
        <v>4003.69</v>
      </c>
    </row>
    <row r="64" spans="1:2" ht="12" customHeight="1">
      <c r="A64" s="93" t="s">
        <v>148</v>
      </c>
      <c r="B64" s="95"/>
    </row>
    <row r="65" spans="1:5" ht="12" customHeight="1">
      <c r="A65" s="96"/>
      <c r="B65" s="160"/>
      <c r="C65" s="95"/>
      <c r="D65" s="152" t="s">
        <v>1</v>
      </c>
      <c r="E65" s="152" t="s">
        <v>135</v>
      </c>
    </row>
    <row r="66" spans="1:9" ht="12" customHeight="1">
      <c r="A66" s="96"/>
      <c r="B66" s="95"/>
      <c r="C66" s="95"/>
      <c r="D66" s="17">
        <v>7629</v>
      </c>
      <c r="E66" s="161">
        <v>0.0332</v>
      </c>
      <c r="H66" s="105" t="s">
        <v>137</v>
      </c>
      <c r="I66" s="29">
        <f>ROUND(D66*E66,3)</f>
        <v>253.283</v>
      </c>
    </row>
    <row r="67" spans="1:9" ht="12" customHeight="1">
      <c r="A67" s="96"/>
      <c r="B67" s="95"/>
      <c r="C67" s="95"/>
      <c r="D67" s="95"/>
      <c r="E67" s="161"/>
      <c r="H67" s="105"/>
      <c r="I67" s="29"/>
    </row>
    <row r="68" spans="1:9" ht="12" customHeight="1">
      <c r="A68" s="91" t="s">
        <v>149</v>
      </c>
      <c r="H68" s="105"/>
      <c r="I68" s="19"/>
    </row>
    <row r="69" spans="1:5" ht="12" customHeight="1">
      <c r="A69" s="96"/>
      <c r="B69" s="43" t="s">
        <v>41</v>
      </c>
      <c r="C69" s="152" t="s">
        <v>1</v>
      </c>
      <c r="D69" s="152" t="s">
        <v>32</v>
      </c>
      <c r="E69" s="152" t="s">
        <v>135</v>
      </c>
    </row>
    <row r="70" spans="2:8" ht="12" customHeight="1">
      <c r="B70" s="52">
        <v>1</v>
      </c>
      <c r="C70" s="17">
        <v>52.33</v>
      </c>
      <c r="D70" s="53">
        <f>C70/6</f>
        <v>8.721666666666666</v>
      </c>
      <c r="E70" s="18"/>
      <c r="F70" s="2"/>
      <c r="H70" s="29"/>
    </row>
    <row r="71" spans="2:8" ht="12" customHeight="1">
      <c r="B71" s="54">
        <v>2</v>
      </c>
      <c r="C71" s="17">
        <v>7</v>
      </c>
      <c r="D71" s="53">
        <f>C71/3</f>
        <v>2.3333333333333335</v>
      </c>
      <c r="E71" s="18"/>
      <c r="H71" s="29"/>
    </row>
    <row r="72" spans="2:8" ht="12" customHeight="1">
      <c r="B72" s="54">
        <v>3</v>
      </c>
      <c r="C72" s="17">
        <v>4827</v>
      </c>
      <c r="D72" s="53">
        <f>C72/2</f>
        <v>2413.5</v>
      </c>
      <c r="E72" s="18"/>
      <c r="H72" s="29"/>
    </row>
    <row r="73" spans="2:8" ht="12" customHeight="1">
      <c r="B73" s="54">
        <v>6</v>
      </c>
      <c r="C73" s="55"/>
      <c r="D73" s="56">
        <f>C73</f>
        <v>0</v>
      </c>
      <c r="E73" s="18"/>
      <c r="H73" s="57"/>
    </row>
    <row r="74" spans="1:9" ht="12" customHeight="1">
      <c r="A74" s="96"/>
      <c r="B74" s="59" t="s">
        <v>42</v>
      </c>
      <c r="C74" s="60">
        <f>SUM(C70:C73)</f>
        <v>4886.33</v>
      </c>
      <c r="D74" s="60">
        <f>ROUND(SUM(D70:D73),2)</f>
        <v>2424.56</v>
      </c>
      <c r="E74" s="61">
        <v>0.5</v>
      </c>
      <c r="F74" s="2"/>
      <c r="G74" s="29"/>
      <c r="H74" s="105" t="s">
        <v>136</v>
      </c>
      <c r="I74" s="29">
        <f>ROUND(D74*E74,3)</f>
        <v>1212.28</v>
      </c>
    </row>
    <row r="75" ht="12" customHeight="1">
      <c r="B75" s="95" t="s">
        <v>43</v>
      </c>
    </row>
    <row r="76" ht="12" customHeight="1">
      <c r="B76" s="95"/>
    </row>
    <row r="77" spans="2:9" ht="12" customHeight="1">
      <c r="B77" s="95"/>
      <c r="H77" s="129" t="s">
        <v>44</v>
      </c>
      <c r="I77" s="19">
        <f>SUM(I32:I76)</f>
        <v>21797.743</v>
      </c>
    </row>
    <row r="78" spans="8:9" ht="12" customHeight="1">
      <c r="H78" s="129"/>
      <c r="I78" s="19"/>
    </row>
    <row r="79" spans="8:9" ht="12" customHeight="1">
      <c r="H79" s="130" t="s">
        <v>174</v>
      </c>
      <c r="I79" s="62">
        <v>1.051</v>
      </c>
    </row>
    <row r="80" ht="12" customHeight="1">
      <c r="H80" s="40"/>
    </row>
    <row r="81" spans="1:9" ht="12" customHeight="1">
      <c r="A81" s="93" t="s">
        <v>151</v>
      </c>
      <c r="H81" s="129" t="s">
        <v>45</v>
      </c>
      <c r="I81" s="29">
        <f>ROUND(I77*I79,3)</f>
        <v>22909.428</v>
      </c>
    </row>
    <row r="82" spans="1:5" ht="12" customHeight="1">
      <c r="A82" s="96"/>
      <c r="B82" s="2"/>
      <c r="C82" s="95"/>
      <c r="D82" s="152" t="s">
        <v>32</v>
      </c>
      <c r="E82" s="152" t="s">
        <v>135</v>
      </c>
    </row>
    <row r="83" spans="1:10" ht="12" customHeight="1">
      <c r="A83" s="96"/>
      <c r="B83" s="2"/>
      <c r="C83" s="95"/>
      <c r="D83" s="17">
        <v>1</v>
      </c>
      <c r="E83" s="63">
        <v>1.5</v>
      </c>
      <c r="H83" s="105" t="s">
        <v>152</v>
      </c>
      <c r="I83" s="29">
        <f>ROUND(D83*E83,3)</f>
        <v>1.5</v>
      </c>
      <c r="J83" s="19"/>
    </row>
    <row r="84" spans="1:9" ht="12" customHeight="1">
      <c r="A84" s="96"/>
      <c r="B84" s="2"/>
      <c r="C84" s="95"/>
      <c r="D84" s="95"/>
      <c r="E84" s="95"/>
      <c r="H84" s="5"/>
      <c r="I84" s="64"/>
    </row>
    <row r="85" spans="1:9" ht="12" customHeight="1">
      <c r="A85" s="91" t="s">
        <v>46</v>
      </c>
      <c r="H85" s="72" t="s">
        <v>86</v>
      </c>
      <c r="I85" s="57">
        <f>D90</f>
        <v>0</v>
      </c>
    </row>
    <row r="86" spans="1:9" ht="12" customHeight="1">
      <c r="A86" s="96"/>
      <c r="B86" s="12"/>
      <c r="C86" s="12"/>
      <c r="D86" s="43"/>
      <c r="E86" s="12"/>
      <c r="H86" s="194" t="str">
        <f>IF($D$27="N"," ","Charter Schools not eligible for District Size")</f>
        <v> </v>
      </c>
      <c r="I86" s="195">
        <f>IF(D27="n",0,-I85)</f>
        <v>0</v>
      </c>
    </row>
    <row r="87" spans="1:9" ht="12" customHeight="1">
      <c r="A87" s="96"/>
      <c r="B87" s="12"/>
      <c r="C87" s="12"/>
      <c r="D87" s="43" t="s">
        <v>34</v>
      </c>
      <c r="E87" s="12"/>
      <c r="H87" s="194"/>
      <c r="I87" s="195"/>
    </row>
    <row r="88" spans="2:9" ht="12" customHeight="1">
      <c r="B88" s="4" t="s">
        <v>47</v>
      </c>
      <c r="D88" s="29">
        <f>I153</f>
        <v>0</v>
      </c>
      <c r="H88" s="72" t="s">
        <v>85</v>
      </c>
      <c r="I88" s="29">
        <f>SUM(D88:D89)</f>
        <v>0</v>
      </c>
    </row>
    <row r="89" spans="2:8" ht="12" customHeight="1">
      <c r="B89" s="4" t="s">
        <v>48</v>
      </c>
      <c r="D89" s="29">
        <f>I168</f>
        <v>0</v>
      </c>
      <c r="H89" s="34"/>
    </row>
    <row r="90" spans="2:9" ht="12" customHeight="1">
      <c r="B90" s="47" t="s">
        <v>156</v>
      </c>
      <c r="D90" s="57">
        <f>IF(I28&gt;0,ROUND(IF(I28&lt;4000,((4000-I28)/4000)*(0.15*I28),0),3),ROUND(IF(I24&lt;4000,((4000-I24)/4000)*(0.15*I24),0),3))</f>
        <v>0</v>
      </c>
      <c r="H90" s="72" t="s">
        <v>110</v>
      </c>
      <c r="I90" s="29">
        <f>IF(AND(H175&gt;0,I175&gt;0),I175,0)</f>
        <v>0</v>
      </c>
    </row>
    <row r="91" spans="8:10" ht="12" customHeight="1">
      <c r="H91" s="34"/>
      <c r="J91" s="12"/>
    </row>
    <row r="92" spans="1:9" ht="12" customHeight="1">
      <c r="A92" s="93" t="s">
        <v>49</v>
      </c>
      <c r="B92" s="94"/>
      <c r="C92" s="152" t="s">
        <v>145</v>
      </c>
      <c r="D92" s="152" t="s">
        <v>1</v>
      </c>
      <c r="E92" s="152" t="s">
        <v>83</v>
      </c>
      <c r="H92" s="72" t="s">
        <v>112</v>
      </c>
      <c r="I92" s="101">
        <f>IF(I181&gt;0,I184,IF(AND(I184&gt;0),I184,0))</f>
        <v>0</v>
      </c>
    </row>
    <row r="93" spans="1:10" s="12" customFormat="1" ht="12" customHeight="1">
      <c r="A93" s="92"/>
      <c r="B93" s="97" t="s">
        <v>175</v>
      </c>
      <c r="C93" s="65">
        <v>0.106</v>
      </c>
      <c r="D93" s="21">
        <f>I26</f>
        <v>13582.51</v>
      </c>
      <c r="E93" s="100">
        <f>C93*D93*I107</f>
        <v>4369845.254009</v>
      </c>
      <c r="F93" s="4"/>
      <c r="G93" s="4"/>
      <c r="H93" s="34"/>
      <c r="I93" s="19"/>
      <c r="J93" s="4"/>
    </row>
    <row r="94" spans="2:9" ht="12" customHeight="1">
      <c r="B94" s="98" t="s">
        <v>111</v>
      </c>
      <c r="E94" s="76"/>
      <c r="H94" s="72" t="s">
        <v>153</v>
      </c>
      <c r="I94" s="101">
        <f>IF(D93&gt;0,C93*D93,0)</f>
        <v>1439.74606</v>
      </c>
    </row>
    <row r="95" ht="12" customHeight="1">
      <c r="J95" s="12"/>
    </row>
    <row r="96" spans="2:9" ht="12" customHeight="1">
      <c r="B96" s="40" t="s">
        <v>84</v>
      </c>
      <c r="E96" s="100">
        <f>IF(E93&gt;E94,E93,E94)</f>
        <v>4369845.254009</v>
      </c>
      <c r="H96" s="34" t="s">
        <v>50</v>
      </c>
      <c r="I96" s="57">
        <f>IF(D$29="N",E126,E128)</f>
        <v>336.575</v>
      </c>
    </row>
    <row r="97" spans="1:9" ht="12" customHeight="1" thickBot="1">
      <c r="A97" s="96"/>
      <c r="B97" s="99"/>
      <c r="F97" s="40"/>
      <c r="H97" s="194" t="str">
        <f>IF($D$27="N"," ","Charter Schools not eligible for Growth")</f>
        <v> </v>
      </c>
      <c r="I97" s="195">
        <f>IF(D27="n",0,-I96)</f>
        <v>0</v>
      </c>
    </row>
    <row r="98" spans="2:9" ht="12" customHeight="1">
      <c r="B98" s="248" t="s">
        <v>159</v>
      </c>
      <c r="C98" s="249"/>
      <c r="D98" s="249"/>
      <c r="E98" s="250"/>
      <c r="H98" s="72"/>
      <c r="I98" s="66"/>
    </row>
    <row r="99" spans="2:10" ht="12" customHeight="1">
      <c r="B99" s="251"/>
      <c r="C99" s="252"/>
      <c r="D99" s="252"/>
      <c r="E99" s="253"/>
      <c r="H99" s="68" t="s">
        <v>164</v>
      </c>
      <c r="I99" s="101">
        <f>SUM(I81:I98)</f>
        <v>24687.249060000002</v>
      </c>
      <c r="J99" s="12"/>
    </row>
    <row r="100" spans="2:9" ht="12" customHeight="1">
      <c r="B100" s="215"/>
      <c r="C100" s="8"/>
      <c r="D100" s="8"/>
      <c r="E100" s="126"/>
      <c r="H100" s="68"/>
      <c r="I100" s="101"/>
    </row>
    <row r="101" spans="2:9" ht="12" customHeight="1">
      <c r="B101" s="217" t="s">
        <v>176</v>
      </c>
      <c r="C101" s="236"/>
      <c r="D101" s="8"/>
      <c r="E101" s="153">
        <v>13622.5</v>
      </c>
      <c r="H101" s="72" t="s">
        <v>166</v>
      </c>
      <c r="I101" s="57">
        <f>IF(D$29="N",E117,E119)</f>
        <v>0</v>
      </c>
    </row>
    <row r="102" spans="2:9" ht="12" customHeight="1">
      <c r="B102" s="238"/>
      <c r="C102" s="236"/>
      <c r="D102" s="8"/>
      <c r="E102" s="235" t="s">
        <v>0</v>
      </c>
      <c r="H102" s="218" t="str">
        <f>IF($D$29="N","FYI ONLY"," ")</f>
        <v>FYI ONLY</v>
      </c>
      <c r="I102" s="57">
        <f>IF(D$29="N",-I101,0)</f>
        <v>0</v>
      </c>
    </row>
    <row r="103" spans="2:9" ht="12" customHeight="1">
      <c r="B103" s="217" t="s">
        <v>182</v>
      </c>
      <c r="C103" s="237"/>
      <c r="D103" s="8"/>
      <c r="E103" s="153">
        <v>13895</v>
      </c>
      <c r="H103" s="68"/>
      <c r="I103" s="101"/>
    </row>
    <row r="104" spans="2:9" ht="12" customHeight="1">
      <c r="B104" s="238"/>
      <c r="C104" s="236"/>
      <c r="D104" s="8"/>
      <c r="E104" s="126"/>
      <c r="H104" s="68"/>
      <c r="I104" s="66"/>
    </row>
    <row r="105" spans="2:9" ht="12" customHeight="1">
      <c r="B105" s="217" t="s">
        <v>183</v>
      </c>
      <c r="C105" s="237"/>
      <c r="D105" s="8"/>
      <c r="E105" s="170">
        <f>E103-(I8/2)</f>
        <v>13895</v>
      </c>
      <c r="H105" s="68" t="s">
        <v>51</v>
      </c>
      <c r="I105" s="101">
        <f>SUM(I99:I104)</f>
        <v>24687.249060000002</v>
      </c>
    </row>
    <row r="106" spans="2:10" ht="12" customHeight="1">
      <c r="B106" s="217"/>
      <c r="C106" s="237"/>
      <c r="D106" s="8"/>
      <c r="E106" s="154"/>
      <c r="F106" s="40" t="s">
        <v>0</v>
      </c>
      <c r="H106" s="41"/>
      <c r="I106" s="101"/>
      <c r="J106" s="19"/>
    </row>
    <row r="107" spans="2:10" ht="12" customHeight="1">
      <c r="B107" s="217" t="str">
        <f>IF($D$29="N","2004-05 Projected Program Units","2003-04  Average Total Program Units")</f>
        <v>2004-05 Projected Program Units</v>
      </c>
      <c r="C107" s="237"/>
      <c r="D107" s="8"/>
      <c r="E107" s="153"/>
      <c r="F107" s="40"/>
      <c r="H107" s="130" t="s">
        <v>52</v>
      </c>
      <c r="I107" s="76">
        <v>3035.15</v>
      </c>
      <c r="J107" s="19"/>
    </row>
    <row r="108" spans="2:9" ht="12" customHeight="1" thickBot="1">
      <c r="B108" s="217"/>
      <c r="C108" s="125"/>
      <c r="D108" s="8"/>
      <c r="E108" s="178"/>
      <c r="F108" s="40"/>
      <c r="H108" s="41"/>
      <c r="I108" s="102"/>
    </row>
    <row r="109" spans="2:9" ht="12" customHeight="1" thickTop="1">
      <c r="B109" s="225" t="s">
        <v>173</v>
      </c>
      <c r="C109" s="226"/>
      <c r="D109" s="227"/>
      <c r="E109" s="228">
        <v>0</v>
      </c>
      <c r="F109" s="40"/>
      <c r="H109" s="68" t="s">
        <v>31</v>
      </c>
      <c r="I109" s="128">
        <f>I105*I107</f>
        <v>74929503.98445901</v>
      </c>
    </row>
    <row r="110" spans="2:9" ht="12" customHeight="1">
      <c r="B110" s="229" t="s">
        <v>177</v>
      </c>
      <c r="C110" s="125"/>
      <c r="D110" s="8"/>
      <c r="E110" s="230"/>
      <c r="F110" s="40"/>
      <c r="G110" s="2"/>
      <c r="I110" s="8"/>
    </row>
    <row r="111" spans="2:9" ht="12" customHeight="1" thickBot="1">
      <c r="B111" s="231" t="s">
        <v>160</v>
      </c>
      <c r="C111" s="232"/>
      <c r="D111" s="233"/>
      <c r="E111" s="234">
        <v>0</v>
      </c>
      <c r="F111" s="40"/>
      <c r="G111" s="2"/>
      <c r="H111" s="72" t="s">
        <v>157</v>
      </c>
      <c r="I111" s="171">
        <f>+IF(E94&gt;E93,ROUND(E94-E93,2),0)</f>
        <v>0</v>
      </c>
    </row>
    <row r="112" spans="2:9" ht="12" customHeight="1" thickBot="1" thickTop="1">
      <c r="B112" s="216"/>
      <c r="C112" s="127"/>
      <c r="D112" s="127"/>
      <c r="E112" s="155"/>
      <c r="F112" s="40"/>
      <c r="G112" s="2"/>
      <c r="I112" s="8"/>
    </row>
    <row r="113" spans="2:9" ht="12" customHeight="1">
      <c r="B113" s="220"/>
      <c r="C113" s="8"/>
      <c r="D113" s="8"/>
      <c r="E113" s="169"/>
      <c r="F113" s="40"/>
      <c r="G113" s="2"/>
      <c r="I113" s="8"/>
    </row>
    <row r="114" spans="2:9" ht="12" customHeight="1" thickBot="1">
      <c r="B114" s="8"/>
      <c r="C114" s="8"/>
      <c r="D114" s="8"/>
      <c r="E114" s="169"/>
      <c r="F114" s="40"/>
      <c r="G114" s="2"/>
      <c r="I114" s="8"/>
    </row>
    <row r="115" spans="2:6" ht="12" customHeight="1">
      <c r="B115" s="248" t="s">
        <v>169</v>
      </c>
      <c r="C115" s="249"/>
      <c r="D115" s="249"/>
      <c r="E115" s="250"/>
      <c r="F115" s="219" t="s">
        <v>53</v>
      </c>
    </row>
    <row r="116" spans="2:8" ht="12" customHeight="1">
      <c r="B116" s="251"/>
      <c r="C116" s="252"/>
      <c r="D116" s="252"/>
      <c r="E116" s="253"/>
      <c r="F116" s="223" t="s">
        <v>167</v>
      </c>
      <c r="H116" s="70">
        <v>177000</v>
      </c>
    </row>
    <row r="117" spans="2:8" ht="12" customHeight="1">
      <c r="B117" s="213" t="s">
        <v>178</v>
      </c>
      <c r="C117" s="207"/>
      <c r="D117" s="207"/>
      <c r="E117" s="214">
        <f>IF(AND(I26&lt;=200,E107&lt;I99),I99-E107,0)</f>
        <v>0</v>
      </c>
      <c r="F117" s="223" t="s">
        <v>54</v>
      </c>
      <c r="H117" s="70"/>
    </row>
    <row r="118" spans="2:8" ht="12" customHeight="1">
      <c r="B118" s="239" t="s">
        <v>181</v>
      </c>
      <c r="C118" s="104"/>
      <c r="D118" s="9"/>
      <c r="E118" s="209"/>
      <c r="F118" s="223" t="s">
        <v>55</v>
      </c>
      <c r="H118" s="71"/>
    </row>
    <row r="119" spans="2:8" ht="12" customHeight="1">
      <c r="B119" s="213" t="s">
        <v>165</v>
      </c>
      <c r="C119" s="9"/>
      <c r="D119" s="9"/>
      <c r="E119" s="214">
        <f>IF(AND(I26&lt;=200,I99&lt;E107),E107-I99,0)</f>
        <v>0</v>
      </c>
      <c r="F119" s="222" t="s">
        <v>172</v>
      </c>
      <c r="G119" s="72"/>
      <c r="H119" s="69">
        <f>ROUND(SUM(H116:H118),2)</f>
        <v>177000</v>
      </c>
    </row>
    <row r="120" spans="2:8" ht="12" customHeight="1">
      <c r="B120" s="239" t="s">
        <v>179</v>
      </c>
      <c r="C120" s="9"/>
      <c r="D120" s="9"/>
      <c r="E120" s="208"/>
      <c r="F120" s="222"/>
      <c r="G120" s="2"/>
      <c r="H120" s="8"/>
    </row>
    <row r="121" spans="2:9" ht="12" customHeight="1" thickBot="1">
      <c r="B121" s="210"/>
      <c r="C121" s="211"/>
      <c r="D121" s="211"/>
      <c r="E121" s="212"/>
      <c r="F121" s="97"/>
      <c r="H121" s="136" t="s">
        <v>106</v>
      </c>
      <c r="I121" s="73">
        <f>ROUND(-(H119*0.75),2)</f>
        <v>-132750</v>
      </c>
    </row>
    <row r="122" spans="2:9" ht="12" customHeight="1">
      <c r="B122" s="2"/>
      <c r="C122" s="2"/>
      <c r="D122" s="2"/>
      <c r="E122" s="2"/>
      <c r="F122" s="97"/>
      <c r="H122" s="203" t="str">
        <f>IF(AND(D27="Y",I121&lt;0),"CREDITS ONLY FOR DISTRICTS!"," ")</f>
        <v> </v>
      </c>
      <c r="I122" s="73" t="str">
        <f>IF(AND(D27="Y",I121&lt;0),-I121," ")</f>
        <v> </v>
      </c>
    </row>
    <row r="123" ht="12" customHeight="1" thickBot="1">
      <c r="F123" s="99"/>
    </row>
    <row r="124" spans="2:10" ht="12" customHeight="1">
      <c r="B124" s="248" t="s">
        <v>168</v>
      </c>
      <c r="C124" s="249"/>
      <c r="D124" s="249"/>
      <c r="E124" s="250"/>
      <c r="F124" s="219" t="s">
        <v>146</v>
      </c>
      <c r="G124" s="2"/>
      <c r="H124" s="2"/>
      <c r="I124" s="2"/>
      <c r="J124" s="2"/>
    </row>
    <row r="125" spans="1:8" ht="12" customHeight="1">
      <c r="A125" s="142"/>
      <c r="B125" s="251"/>
      <c r="C125" s="252"/>
      <c r="D125" s="252"/>
      <c r="E125" s="253"/>
      <c r="F125" s="224" t="s">
        <v>171</v>
      </c>
      <c r="G125"/>
      <c r="H125" s="1">
        <f>IF(E109&gt;E111,E109,E111)</f>
        <v>0</v>
      </c>
    </row>
    <row r="126" spans="1:8" ht="12" customHeight="1">
      <c r="A126" s="142"/>
      <c r="B126" s="213" t="s">
        <v>178</v>
      </c>
      <c r="C126" s="207"/>
      <c r="D126" s="207"/>
      <c r="E126" s="221">
        <f>IF(((E105-E101)/E101)&gt;0.01,((((E105-E101)-(E105*0.01))*1.5)+((E105-E101)*0.5)),0)</f>
        <v>336.575</v>
      </c>
      <c r="F126" s="223" t="s">
        <v>170</v>
      </c>
      <c r="G126" s="75"/>
      <c r="H126" s="76">
        <v>265590.12</v>
      </c>
    </row>
    <row r="127" spans="1:8" ht="12" customHeight="1">
      <c r="A127" s="142"/>
      <c r="B127" s="239" t="s">
        <v>181</v>
      </c>
      <c r="C127" s="104"/>
      <c r="D127" s="9"/>
      <c r="E127" s="209"/>
      <c r="F127" s="223" t="s">
        <v>108</v>
      </c>
      <c r="G127" s="75"/>
      <c r="H127" s="67"/>
    </row>
    <row r="128" spans="1:8" ht="12" customHeight="1">
      <c r="A128" s="142"/>
      <c r="B128" s="213" t="s">
        <v>165</v>
      </c>
      <c r="C128" s="9"/>
      <c r="D128" s="9"/>
      <c r="E128" s="221">
        <f>IF(((I28-E101)/E101)&gt;0.01,((((I28-E101)-(I28*0.01))*1.5)+((I28-E101)*0.5)),0)</f>
        <v>0</v>
      </c>
      <c r="F128" s="222" t="s">
        <v>109</v>
      </c>
      <c r="G128" s="72"/>
      <c r="H128" s="69">
        <f>SUM(H124:H127)</f>
        <v>265590.12</v>
      </c>
    </row>
    <row r="129" spans="1:8" ht="12" customHeight="1">
      <c r="A129" s="142"/>
      <c r="B129" s="240" t="s">
        <v>180</v>
      </c>
      <c r="C129" s="9"/>
      <c r="D129" s="9"/>
      <c r="E129" s="208"/>
      <c r="F129" s="98"/>
      <c r="G129" s="72"/>
      <c r="H129" s="69"/>
    </row>
    <row r="130" spans="1:9" s="8" customFormat="1" ht="12" customHeight="1" thickBot="1">
      <c r="A130" s="142"/>
      <c r="B130" s="210"/>
      <c r="C130" s="211"/>
      <c r="D130" s="211"/>
      <c r="E130" s="212"/>
      <c r="F130" s="4"/>
      <c r="G130" s="136"/>
      <c r="H130" s="136" t="s">
        <v>147</v>
      </c>
      <c r="I130" s="73">
        <f>(-H128)</f>
        <v>-265590.12</v>
      </c>
    </row>
    <row r="131" spans="1:9" ht="12" customHeight="1">
      <c r="A131" s="142"/>
      <c r="F131" s="137"/>
      <c r="H131" s="202"/>
      <c r="I131" s="2"/>
    </row>
    <row r="132" spans="1:9" ht="12" customHeight="1">
      <c r="A132" s="141"/>
      <c r="F132" s="9"/>
      <c r="G132" s="46"/>
      <c r="H132" s="193" t="str">
        <f>IF($D$27="N"," ","MINUS:  2% Portion Retained by District:")</f>
        <v> </v>
      </c>
      <c r="I132" s="77">
        <f>IF(D27="N",0,(-SUM(I109:I131)*0.02))</f>
        <v>0</v>
      </c>
    </row>
    <row r="133" spans="1:10" ht="12" customHeight="1" thickBot="1">
      <c r="A133" s="141"/>
      <c r="B133" s="9"/>
      <c r="C133" s="9"/>
      <c r="D133" s="9"/>
      <c r="E133" s="9"/>
      <c r="F133" s="9"/>
      <c r="G133" s="9"/>
      <c r="H133" s="9"/>
      <c r="I133" s="9"/>
      <c r="J133" s="8"/>
    </row>
    <row r="134" spans="1:9" ht="12" customHeight="1">
      <c r="A134" s="142"/>
      <c r="B134" s="8"/>
      <c r="C134" s="8"/>
      <c r="D134" s="8"/>
      <c r="E134" s="242" t="s">
        <v>56</v>
      </c>
      <c r="F134" s="243"/>
      <c r="G134" s="243"/>
      <c r="H134" s="243"/>
      <c r="I134" s="246">
        <f>ROUND(SUM(I109:I133),2)</f>
        <v>74531163.86</v>
      </c>
    </row>
    <row r="135" spans="1:12" ht="12" customHeight="1" thickBot="1">
      <c r="A135" s="141"/>
      <c r="B135" s="9"/>
      <c r="C135" s="9"/>
      <c r="D135" s="9"/>
      <c r="E135" s="244"/>
      <c r="F135" s="245"/>
      <c r="G135" s="245"/>
      <c r="H135" s="245"/>
      <c r="I135" s="247"/>
      <c r="J135" s="8"/>
      <c r="K135" s="8"/>
      <c r="L135" s="8"/>
    </row>
    <row r="136" spans="1:12" ht="12" customHeight="1">
      <c r="A136" s="141"/>
      <c r="B136" s="9"/>
      <c r="C136" s="9"/>
      <c r="D136" s="9"/>
      <c r="E136" s="9"/>
      <c r="F136" s="9"/>
      <c r="G136" s="9"/>
      <c r="H136" s="9"/>
      <c r="I136" s="9"/>
      <c r="J136" s="8"/>
      <c r="K136" s="8"/>
      <c r="L136" s="8"/>
    </row>
    <row r="137" spans="1:13" ht="12" customHeight="1">
      <c r="A137" s="140"/>
      <c r="B137" s="138" t="s">
        <v>79</v>
      </c>
      <c r="C137" s="78"/>
      <c r="D137" s="3"/>
      <c r="E137" s="6"/>
      <c r="F137" s="6"/>
      <c r="G137" s="6"/>
      <c r="H137" s="3"/>
      <c r="I137" s="3" t="s">
        <v>57</v>
      </c>
      <c r="J137" s="2"/>
      <c r="K137" s="8"/>
      <c r="L137" s="8"/>
      <c r="M137" s="8"/>
    </row>
    <row r="138" spans="1:10" s="8" customFormat="1" ht="12" customHeight="1">
      <c r="A138" s="140"/>
      <c r="B138" s="138"/>
      <c r="C138" s="78"/>
      <c r="D138" s="3"/>
      <c r="E138" s="6"/>
      <c r="F138" s="6"/>
      <c r="G138" s="6"/>
      <c r="H138" s="3"/>
      <c r="I138" s="3"/>
      <c r="J138" s="2"/>
    </row>
    <row r="139" spans="1:12" s="8" customFormat="1" ht="12" customHeight="1">
      <c r="A139" s="140"/>
      <c r="B139" s="138"/>
      <c r="C139" s="78"/>
      <c r="D139" s="3"/>
      <c r="E139" s="6"/>
      <c r="F139" s="6"/>
      <c r="G139" s="6"/>
      <c r="H139" s="3"/>
      <c r="I139" s="3"/>
      <c r="J139" s="2"/>
      <c r="K139" s="2"/>
      <c r="L139" s="2"/>
    </row>
    <row r="140" spans="1:12" s="8" customFormat="1" ht="12" customHeight="1">
      <c r="A140" s="140"/>
      <c r="B140" s="138"/>
      <c r="C140" s="78"/>
      <c r="D140" s="3"/>
      <c r="E140" s="6"/>
      <c r="F140" s="6"/>
      <c r="G140" s="6"/>
      <c r="H140" s="3"/>
      <c r="I140" s="3"/>
      <c r="J140" s="2"/>
      <c r="K140" s="2"/>
      <c r="L140" s="2"/>
    </row>
    <row r="141" spans="1:13" s="8" customFormat="1" ht="12" customHeight="1">
      <c r="A141" s="142"/>
      <c r="J141" s="4"/>
      <c r="K141" s="2"/>
      <c r="L141" s="2"/>
      <c r="M141" s="2"/>
    </row>
    <row r="142" spans="1:10" s="2" customFormat="1" ht="12" customHeight="1">
      <c r="A142" s="145" t="str">
        <f>"1."</f>
        <v>1.</v>
      </c>
      <c r="B142" s="79" t="s">
        <v>58</v>
      </c>
      <c r="C142" s="4"/>
      <c r="D142" s="4"/>
      <c r="E142" s="4"/>
      <c r="F142" s="4"/>
      <c r="G142" s="4"/>
      <c r="H142" s="4"/>
      <c r="I142" s="8"/>
      <c r="J142" s="4"/>
    </row>
    <row r="143" spans="1:12" s="2" customFormat="1" ht="12" customHeight="1">
      <c r="A143" s="92"/>
      <c r="B143" s="98" t="s">
        <v>101</v>
      </c>
      <c r="C143" s="4"/>
      <c r="D143" s="4"/>
      <c r="E143" s="4"/>
      <c r="F143" s="4"/>
      <c r="G143" s="4"/>
      <c r="H143" s="4"/>
      <c r="I143" s="4"/>
      <c r="J143" s="4"/>
      <c r="K143" s="4"/>
      <c r="L143" s="4"/>
    </row>
    <row r="144" spans="1:12" s="2" customFormat="1" ht="12" customHeight="1">
      <c r="A144" s="92"/>
      <c r="B144" s="98" t="s">
        <v>100</v>
      </c>
      <c r="C144" s="3"/>
      <c r="D144" s="3"/>
      <c r="E144" s="12" t="s">
        <v>59</v>
      </c>
      <c r="F144" s="3"/>
      <c r="G144" s="3"/>
      <c r="H144" s="3"/>
      <c r="I144" s="3"/>
      <c r="J144" s="4"/>
      <c r="K144" s="4"/>
      <c r="L144" s="4"/>
    </row>
    <row r="145" spans="1:13" s="2" customFormat="1" ht="12" customHeight="1">
      <c r="A145" s="92"/>
      <c r="B145" s="3"/>
      <c r="C145" s="3"/>
      <c r="D145" s="3"/>
      <c r="E145" s="3"/>
      <c r="F145" s="3"/>
      <c r="G145" s="3"/>
      <c r="H145" s="3"/>
      <c r="I145" s="12"/>
      <c r="J145" s="4"/>
      <c r="K145" s="4"/>
      <c r="L145" s="4"/>
      <c r="M145" s="4"/>
    </row>
    <row r="146" spans="2:9" ht="12" customHeight="1">
      <c r="B146" s="2"/>
      <c r="C146" s="80" t="s">
        <v>60</v>
      </c>
      <c r="D146" s="81"/>
      <c r="E146" s="15" t="s">
        <v>61</v>
      </c>
      <c r="F146" s="15" t="s">
        <v>62</v>
      </c>
      <c r="G146" s="103"/>
      <c r="H146" s="15" t="s">
        <v>1</v>
      </c>
      <c r="I146" s="131" t="s">
        <v>34</v>
      </c>
    </row>
    <row r="147" spans="2:9" ht="12" customHeight="1">
      <c r="B147" s="2"/>
      <c r="C147" s="181"/>
      <c r="E147" s="82"/>
      <c r="F147" s="83"/>
      <c r="G147" s="103"/>
      <c r="H147" s="204"/>
      <c r="I147" s="117">
        <f aca="true" t="shared" si="3" ref="I147:I152">IF(H147&lt;200,ROUND(IF(((200-H147)/200)*(1*H147)&gt;0,((200-H147)/200)*(1*H147),0),3),0)</f>
        <v>0</v>
      </c>
    </row>
    <row r="148" spans="2:9" ht="12" customHeight="1">
      <c r="B148" s="2"/>
      <c r="C148" s="181"/>
      <c r="E148" s="183"/>
      <c r="F148" s="179"/>
      <c r="G148" s="103"/>
      <c r="H148" s="204"/>
      <c r="I148" s="117">
        <f t="shared" si="3"/>
        <v>0</v>
      </c>
    </row>
    <row r="149" spans="2:9" ht="12" customHeight="1">
      <c r="B149" s="2"/>
      <c r="C149" s="182"/>
      <c r="E149" s="82"/>
      <c r="F149" s="180"/>
      <c r="G149" s="103"/>
      <c r="H149" s="204"/>
      <c r="I149" s="117">
        <f t="shared" si="3"/>
        <v>0</v>
      </c>
    </row>
    <row r="150" spans="2:9" ht="12" customHeight="1">
      <c r="B150" s="2"/>
      <c r="C150" s="182"/>
      <c r="E150" s="82"/>
      <c r="F150" s="180"/>
      <c r="G150" s="103"/>
      <c r="H150" s="204"/>
      <c r="I150" s="117">
        <f t="shared" si="3"/>
        <v>0</v>
      </c>
    </row>
    <row r="151" spans="2:9" ht="12" customHeight="1">
      <c r="B151" s="2"/>
      <c r="C151" s="182"/>
      <c r="E151" s="82"/>
      <c r="F151" s="180"/>
      <c r="G151" s="103"/>
      <c r="H151" s="205"/>
      <c r="I151" s="117">
        <f t="shared" si="3"/>
        <v>0</v>
      </c>
    </row>
    <row r="152" spans="2:9" ht="12" customHeight="1">
      <c r="B152" s="2"/>
      <c r="C152" s="182"/>
      <c r="E152" s="82"/>
      <c r="F152" s="180"/>
      <c r="G152" s="103"/>
      <c r="H152" s="205"/>
      <c r="I152" s="177">
        <f t="shared" si="3"/>
        <v>0</v>
      </c>
    </row>
    <row r="153" spans="3:9" ht="12" customHeight="1">
      <c r="C153" s="7"/>
      <c r="E153" s="84"/>
      <c r="H153" s="41" t="s">
        <v>63</v>
      </c>
      <c r="I153" s="132">
        <f>SUM(I147:I152)</f>
        <v>0</v>
      </c>
    </row>
    <row r="154" spans="8:9" ht="12" customHeight="1">
      <c r="H154" s="34"/>
      <c r="I154" s="132"/>
    </row>
    <row r="155" spans="1:9" ht="12" customHeight="1">
      <c r="A155" s="145" t="str">
        <f>"2."</f>
        <v>2.</v>
      </c>
      <c r="B155" s="79" t="s">
        <v>64</v>
      </c>
      <c r="I155" s="12"/>
    </row>
    <row r="156" spans="2:9" ht="12" customHeight="1">
      <c r="B156" s="98" t="s">
        <v>103</v>
      </c>
      <c r="I156" s="12"/>
    </row>
    <row r="157" spans="2:9" ht="12" customHeight="1">
      <c r="B157" s="133" t="s">
        <v>102</v>
      </c>
      <c r="I157" s="12"/>
    </row>
    <row r="158" spans="2:9" ht="12" customHeight="1">
      <c r="B158" s="2"/>
      <c r="C158" s="3"/>
      <c r="D158" s="3"/>
      <c r="E158" s="3"/>
      <c r="F158" s="3"/>
      <c r="G158" s="3"/>
      <c r="H158" s="3"/>
      <c r="I158" s="12"/>
    </row>
    <row r="159" spans="3:9" ht="12" customHeight="1">
      <c r="C159" s="3"/>
      <c r="D159" s="3"/>
      <c r="E159" s="12" t="s">
        <v>76</v>
      </c>
      <c r="F159" s="3"/>
      <c r="G159" s="3"/>
      <c r="H159" s="3"/>
      <c r="I159" s="12"/>
    </row>
    <row r="160" spans="1:9" ht="12" customHeight="1">
      <c r="A160" s="96"/>
      <c r="B160" s="2"/>
      <c r="C160" s="2"/>
      <c r="D160" s="2"/>
      <c r="E160" s="2"/>
      <c r="F160" s="2"/>
      <c r="G160" s="2"/>
      <c r="H160" s="2"/>
      <c r="I160" s="103"/>
    </row>
    <row r="161" spans="2:9" ht="12" customHeight="1">
      <c r="B161" s="2"/>
      <c r="C161" s="80" t="s">
        <v>60</v>
      </c>
      <c r="D161" s="81"/>
      <c r="E161" s="15" t="s">
        <v>61</v>
      </c>
      <c r="F161" s="15" t="s">
        <v>62</v>
      </c>
      <c r="G161" s="2"/>
      <c r="H161" s="15" t="s">
        <v>1</v>
      </c>
      <c r="I161" s="131" t="s">
        <v>34</v>
      </c>
    </row>
    <row r="162" spans="2:9" ht="12" customHeight="1">
      <c r="B162" s="2"/>
      <c r="C162" s="181"/>
      <c r="E162" s="82"/>
      <c r="F162" s="179"/>
      <c r="G162" s="103"/>
      <c r="H162" s="204"/>
      <c r="I162" s="117">
        <f aca="true" t="shared" si="4" ref="I162:I167">IF(H162&lt;400,ROUND(MAX(((200-H162)/200)*(2*H162),((400-H162)/400)*(1.6*H162)),3),0)</f>
        <v>0</v>
      </c>
    </row>
    <row r="163" spans="2:9" ht="12" customHeight="1">
      <c r="B163" s="2"/>
      <c r="C163" s="182"/>
      <c r="E163" s="82"/>
      <c r="F163" s="83"/>
      <c r="G163" s="103"/>
      <c r="H163" s="204"/>
      <c r="I163" s="117">
        <f t="shared" si="4"/>
        <v>0</v>
      </c>
    </row>
    <row r="164" spans="2:9" ht="12" customHeight="1">
      <c r="B164" s="2"/>
      <c r="C164" s="182"/>
      <c r="E164" s="82"/>
      <c r="F164" s="180"/>
      <c r="G164" s="103"/>
      <c r="H164" s="204"/>
      <c r="I164" s="117">
        <f t="shared" si="4"/>
        <v>0</v>
      </c>
    </row>
    <row r="165" spans="2:10" ht="12" customHeight="1">
      <c r="B165" s="2"/>
      <c r="C165" s="182"/>
      <c r="E165" s="82"/>
      <c r="F165" s="180"/>
      <c r="G165" s="103"/>
      <c r="H165" s="204"/>
      <c r="I165" s="117">
        <f t="shared" si="4"/>
        <v>0</v>
      </c>
      <c r="J165" s="84"/>
    </row>
    <row r="166" spans="2:9" ht="12" customHeight="1">
      <c r="B166" s="2"/>
      <c r="C166" s="182"/>
      <c r="E166" s="82"/>
      <c r="F166" s="180"/>
      <c r="G166" s="103"/>
      <c r="H166" s="204"/>
      <c r="I166" s="117">
        <f t="shared" si="4"/>
        <v>0</v>
      </c>
    </row>
    <row r="167" spans="2:12" ht="12" customHeight="1">
      <c r="B167" s="2"/>
      <c r="C167" s="182"/>
      <c r="D167" s="58"/>
      <c r="E167" s="82"/>
      <c r="F167" s="180"/>
      <c r="G167" s="103"/>
      <c r="H167" s="204"/>
      <c r="I167" s="177">
        <f t="shared" si="4"/>
        <v>0</v>
      </c>
      <c r="K167" s="84"/>
      <c r="L167" s="84"/>
    </row>
    <row r="168" spans="3:9" ht="12" customHeight="1">
      <c r="C168" s="7"/>
      <c r="H168" s="41" t="s">
        <v>65</v>
      </c>
      <c r="I168" s="132">
        <f>SUM(I162:I167)</f>
        <v>0</v>
      </c>
    </row>
    <row r="169" spans="8:13" ht="12" customHeight="1">
      <c r="H169" s="34"/>
      <c r="I169" s="132"/>
      <c r="M169" s="84"/>
    </row>
    <row r="170" spans="1:13" s="84" customFormat="1" ht="12" customHeight="1">
      <c r="A170" s="145" t="str">
        <f>"3."</f>
        <v>3.</v>
      </c>
      <c r="B170" s="79" t="s">
        <v>66</v>
      </c>
      <c r="C170" s="4"/>
      <c r="D170" s="4"/>
      <c r="E170" s="4"/>
      <c r="F170" s="4"/>
      <c r="G170" s="4"/>
      <c r="H170" s="4"/>
      <c r="I170" s="12"/>
      <c r="J170" s="4"/>
      <c r="K170" s="4"/>
      <c r="L170" s="4"/>
      <c r="M170" s="4"/>
    </row>
    <row r="171" spans="2:9" ht="12" customHeight="1">
      <c r="B171" s="98" t="s">
        <v>104</v>
      </c>
      <c r="I171" s="12"/>
    </row>
    <row r="172" spans="2:9" ht="12" customHeight="1">
      <c r="B172" s="98" t="s">
        <v>105</v>
      </c>
      <c r="I172" s="12"/>
    </row>
    <row r="173" spans="3:9" ht="12" customHeight="1">
      <c r="C173" s="3"/>
      <c r="D173" s="3"/>
      <c r="E173" s="134" t="s">
        <v>67</v>
      </c>
      <c r="F173" s="3"/>
      <c r="G173" s="3"/>
      <c r="H173" s="3"/>
      <c r="I173" s="12"/>
    </row>
    <row r="174" spans="2:9" ht="12" customHeight="1">
      <c r="B174" s="98" t="s">
        <v>82</v>
      </c>
      <c r="G174" s="85"/>
      <c r="H174" s="86" t="str">
        <f>IF(AND(G174&lt;&gt;0,I28&gt;10000),I28/G174,"N.A. ")</f>
        <v>N.A. </v>
      </c>
      <c r="I174" s="12"/>
    </row>
    <row r="175" spans="2:9" ht="12" customHeight="1">
      <c r="B175" s="99" t="s">
        <v>68</v>
      </c>
      <c r="H175" s="87"/>
      <c r="I175" s="117">
        <f>IF(I28&gt;0,ROUND(IF(H174&lt;4000,(4000-(I28/H175))*0.5,0),3),ROUND(IF(H174&lt;4000,(4000-(I28/H175))*0.5,0),3))</f>
        <v>0</v>
      </c>
    </row>
    <row r="176" spans="2:9" ht="12" customHeight="1">
      <c r="B176" s="7"/>
      <c r="H176" s="8"/>
      <c r="I176" s="117"/>
    </row>
    <row r="177" spans="1:9" ht="12" customHeight="1">
      <c r="A177" s="145" t="str">
        <f>"4."</f>
        <v>4.</v>
      </c>
      <c r="B177" s="79" t="s">
        <v>69</v>
      </c>
      <c r="I177" s="12"/>
    </row>
    <row r="178" spans="1:9" ht="12" customHeight="1">
      <c r="A178" s="145"/>
      <c r="B178" s="99" t="s">
        <v>70</v>
      </c>
      <c r="G178" s="2"/>
      <c r="H178" s="2"/>
      <c r="I178" s="103"/>
    </row>
    <row r="179" spans="1:9" ht="12" customHeight="1">
      <c r="A179" s="145"/>
      <c r="B179" s="99"/>
      <c r="G179" s="2"/>
      <c r="H179" s="88" t="s">
        <v>71</v>
      </c>
      <c r="I179" s="131" t="s">
        <v>34</v>
      </c>
    </row>
    <row r="180" spans="1:9" ht="12" customHeight="1">
      <c r="A180" s="145"/>
      <c r="B180" s="99" t="s">
        <v>72</v>
      </c>
      <c r="H180" s="89"/>
      <c r="I180" s="117">
        <f>ROUND(IF(H180="YES",I28*0.147,0),3)</f>
        <v>0</v>
      </c>
    </row>
    <row r="181" spans="1:9" ht="12" customHeight="1">
      <c r="A181" s="145"/>
      <c r="B181" s="99"/>
      <c r="C181" s="4" t="s">
        <v>73</v>
      </c>
      <c r="I181" s="12"/>
    </row>
    <row r="182" spans="1:9" ht="12" customHeight="1">
      <c r="A182" s="145"/>
      <c r="B182" s="99"/>
      <c r="I182" s="12"/>
    </row>
    <row r="183" spans="2:9" ht="12" customHeight="1">
      <c r="B183" s="99" t="s">
        <v>74</v>
      </c>
      <c r="I183" s="12"/>
    </row>
    <row r="184" spans="2:9" ht="12" customHeight="1">
      <c r="B184" s="99"/>
      <c r="E184" s="134" t="s">
        <v>75</v>
      </c>
      <c r="H184" s="89"/>
      <c r="I184" s="117">
        <f>ROUND(IF(H184="YES",(E101-I28)*0.17,0),3)</f>
        <v>0</v>
      </c>
    </row>
    <row r="185" spans="1:9" ht="12" customHeight="1">
      <c r="A185" s="96"/>
      <c r="B185" s="97"/>
      <c r="C185" s="2"/>
      <c r="D185" s="2"/>
      <c r="E185" s="2"/>
      <c r="F185" s="2"/>
      <c r="G185" s="2"/>
      <c r="H185" s="2"/>
      <c r="I185" s="103"/>
    </row>
    <row r="186" ht="12" customHeight="1">
      <c r="I186" s="12"/>
    </row>
    <row r="187" ht="12" customHeight="1">
      <c r="I187" s="12"/>
    </row>
    <row r="188" ht="12" customHeight="1">
      <c r="I188" s="12"/>
    </row>
    <row r="189" ht="12" customHeight="1">
      <c r="I189" s="12"/>
    </row>
    <row r="190" ht="12" customHeight="1">
      <c r="I190" s="12"/>
    </row>
    <row r="191" ht="12" customHeight="1">
      <c r="I191" s="12"/>
    </row>
    <row r="192" ht="12" customHeight="1">
      <c r="I192" s="12"/>
    </row>
    <row r="193" ht="12" customHeight="1">
      <c r="I193" s="12"/>
    </row>
    <row r="194" ht="12" customHeight="1">
      <c r="I194" s="12"/>
    </row>
    <row r="195" ht="12" customHeight="1">
      <c r="I195" s="12"/>
    </row>
    <row r="196" ht="12" customHeight="1">
      <c r="I196" s="12"/>
    </row>
    <row r="197" ht="12" customHeight="1">
      <c r="I197" s="12"/>
    </row>
    <row r="198" ht="12" customHeight="1">
      <c r="I198" s="12"/>
    </row>
    <row r="199" ht="12" customHeight="1">
      <c r="I199" s="12"/>
    </row>
    <row r="200" ht="12" customHeight="1">
      <c r="I200" s="12"/>
    </row>
    <row r="201" ht="12" customHeight="1">
      <c r="I201" s="12"/>
    </row>
    <row r="202" ht="12" customHeight="1">
      <c r="I202" s="12"/>
    </row>
    <row r="203" ht="12" customHeight="1">
      <c r="I203" s="12"/>
    </row>
    <row r="204" ht="12" customHeight="1">
      <c r="I204" s="12"/>
    </row>
    <row r="205" ht="12" customHeight="1">
      <c r="I205" s="12"/>
    </row>
    <row r="206" ht="12" customHeight="1">
      <c r="I206" s="12"/>
    </row>
    <row r="207" ht="12" customHeight="1">
      <c r="I207" s="12"/>
    </row>
    <row r="208" ht="12" customHeight="1">
      <c r="I208" s="12"/>
    </row>
    <row r="209" ht="12" customHeight="1">
      <c r="I209" s="12"/>
    </row>
    <row r="210" ht="12" customHeight="1">
      <c r="I210" s="12"/>
    </row>
    <row r="211" ht="12" customHeight="1">
      <c r="I211" s="12"/>
    </row>
    <row r="212" ht="12" customHeight="1">
      <c r="I212" s="12"/>
    </row>
    <row r="213" ht="12" customHeight="1">
      <c r="I213" s="12"/>
    </row>
    <row r="214" ht="12" customHeight="1">
      <c r="I214" s="12"/>
    </row>
    <row r="215" ht="12" customHeight="1">
      <c r="I215" s="12"/>
    </row>
    <row r="216" ht="12" customHeight="1">
      <c r="I216" s="12"/>
    </row>
    <row r="217" ht="12" customHeight="1">
      <c r="I217" s="12"/>
    </row>
  </sheetData>
  <mergeCells count="8">
    <mergeCell ref="D2:E2"/>
    <mergeCell ref="E134:H135"/>
    <mergeCell ref="I134:I135"/>
    <mergeCell ref="B98:E99"/>
    <mergeCell ref="B27:C27"/>
    <mergeCell ref="B29:C29"/>
    <mergeCell ref="B115:E116"/>
    <mergeCell ref="B124:E125"/>
  </mergeCells>
  <printOptions horizontalCentered="1" verticalCentered="1"/>
  <pageMargins left="0.25" right="0.25" top="0.7" bottom="0.5" header="0.37" footer="0.25"/>
  <pageSetup fitToHeight="2" horizontalDpi="600" verticalDpi="600" orientation="portrait" scale="93" r:id="rId4"/>
  <headerFooter alignWithMargins="0">
    <oddHeader>&amp;C&amp;"Arial,Bold"&amp;11 2004-05 STATE EQUALIZATION GUARANTEE COMPUTATION
REVENUE ESTIMATE WORKSHEET&amp;9
</oddHeader>
    <oddFooter>&amp;LEXCEL: &amp;F&amp;RPage &amp;P of &amp;N</oddFooter>
  </headerFooter>
  <rowBreaks count="2" manualBreakCount="2">
    <brk id="67" max="255" man="1"/>
    <brk id="135" max="255" man="1"/>
  </rowBreaks>
  <drawing r:id="rId3"/>
  <legacyDrawing r:id="rId2"/>
</worksheet>
</file>

<file path=xl/worksheets/sheet2.xml><?xml version="1.0" encoding="utf-8"?>
<worksheet xmlns="http://schemas.openxmlformats.org/spreadsheetml/2006/main" xmlns:r="http://schemas.openxmlformats.org/officeDocument/2006/relationships">
  <dimension ref="A1:E30"/>
  <sheetViews>
    <sheetView workbookViewId="0" topLeftCell="A17">
      <selection activeCell="C26" sqref="C26"/>
    </sheetView>
  </sheetViews>
  <sheetFormatPr defaultColWidth="9.33203125" defaultRowHeight="17.25" customHeight="1"/>
  <cols>
    <col min="1" max="1" width="4" style="2" customWidth="1"/>
    <col min="2" max="2" width="17.5" style="156" customWidth="1"/>
    <col min="3" max="3" width="45" style="147" customWidth="1"/>
    <col min="4" max="4" width="10.16015625" style="147" customWidth="1"/>
    <col min="5" max="5" width="17.5" style="156" customWidth="1"/>
    <col min="6" max="6" width="2.66015625" style="147" customWidth="1"/>
    <col min="7" max="16384" width="10.66015625" style="147" customWidth="1"/>
  </cols>
  <sheetData>
    <row r="1" spans="3:4" ht="17.25" customHeight="1">
      <c r="C1" s="148"/>
      <c r="D1" s="148"/>
    </row>
    <row r="2" spans="1:5" s="167" customFormat="1" ht="17.25" customHeight="1">
      <c r="A2" s="165"/>
      <c r="B2" s="166" t="s">
        <v>138</v>
      </c>
      <c r="C2" s="166" t="s">
        <v>141</v>
      </c>
      <c r="E2" s="166" t="s">
        <v>138</v>
      </c>
    </row>
    <row r="3" spans="1:5" s="164" customFormat="1" ht="17.25" customHeight="1">
      <c r="A3" s="162"/>
      <c r="B3" s="163" t="s">
        <v>139</v>
      </c>
      <c r="C3" s="163" t="s">
        <v>142</v>
      </c>
      <c r="E3" s="163" t="s">
        <v>140</v>
      </c>
    </row>
    <row r="4" spans="1:5" s="164" customFormat="1" ht="17.25" customHeight="1">
      <c r="A4" s="162"/>
      <c r="B4" s="172"/>
      <c r="C4" s="163"/>
      <c r="E4" s="163"/>
    </row>
    <row r="5" spans="2:5" ht="17.25" customHeight="1">
      <c r="B5" s="173">
        <f>SUM(BLANK!I34:I51)</f>
        <v>16328.490000000002</v>
      </c>
      <c r="C5" s="148" t="s">
        <v>113</v>
      </c>
      <c r="D5" s="148"/>
      <c r="E5" s="173">
        <f>SUM(BLANK!I34:I51)</f>
        <v>16328.490000000002</v>
      </c>
    </row>
    <row r="6" spans="2:5" ht="17.25" customHeight="1">
      <c r="B6" s="173">
        <f>SUM(BLANK!G57)</f>
        <v>2380.19</v>
      </c>
      <c r="C6" s="148" t="s">
        <v>114</v>
      </c>
      <c r="D6" s="148"/>
      <c r="E6" s="173">
        <f>SUM(BLANK!G57)</f>
        <v>2380.19</v>
      </c>
    </row>
    <row r="7" spans="2:5" ht="17.25" customHeight="1">
      <c r="B7" s="173">
        <f>SUM(BLANK!G61)</f>
        <v>1623.5</v>
      </c>
      <c r="C7" s="148" t="s">
        <v>115</v>
      </c>
      <c r="D7" s="148"/>
      <c r="E7" s="173">
        <f>SUM(BLANK!G61)</f>
        <v>1623.5</v>
      </c>
    </row>
    <row r="8" spans="2:5" ht="17.25" customHeight="1">
      <c r="B8" s="175"/>
      <c r="C8" s="168" t="s">
        <v>143</v>
      </c>
      <c r="D8" s="149"/>
      <c r="E8" s="174">
        <f>SUM(BLANK!I66)</f>
        <v>253.283</v>
      </c>
    </row>
    <row r="9" spans="2:5" ht="17.25" customHeight="1">
      <c r="B9" s="174">
        <f>SUM(BLANK!I74)</f>
        <v>1212.28</v>
      </c>
      <c r="C9" s="149" t="s">
        <v>116</v>
      </c>
      <c r="D9" s="149"/>
      <c r="E9" s="174">
        <f>SUM(BLANK!I74)</f>
        <v>1212.28</v>
      </c>
    </row>
    <row r="10" spans="2:5" ht="17.25" customHeight="1">
      <c r="B10" s="175"/>
      <c r="C10" s="168" t="s">
        <v>161</v>
      </c>
      <c r="D10" s="149"/>
      <c r="E10" s="174"/>
    </row>
    <row r="11" spans="2:5" ht="17.25" customHeight="1">
      <c r="B11" s="173">
        <f>SUM(B5:B10)</f>
        <v>21544.46</v>
      </c>
      <c r="C11" s="148" t="s">
        <v>117</v>
      </c>
      <c r="D11" s="148"/>
      <c r="E11" s="173">
        <f>SUM(E5:E10)</f>
        <v>21797.743</v>
      </c>
    </row>
    <row r="12" spans="2:5" ht="17.25" customHeight="1">
      <c r="B12" s="176">
        <f>SUM(BLANK!I79)</f>
        <v>1.051</v>
      </c>
      <c r="C12" s="148" t="s">
        <v>118</v>
      </c>
      <c r="D12" s="148"/>
      <c r="E12" s="176">
        <f>SUM(BLANK!I79)</f>
        <v>1.051</v>
      </c>
    </row>
    <row r="13" spans="2:5" ht="17.25" customHeight="1">
      <c r="B13" s="173">
        <f>B11*B12</f>
        <v>22643.22746</v>
      </c>
      <c r="C13" s="148" t="s">
        <v>119</v>
      </c>
      <c r="D13" s="148"/>
      <c r="E13" s="173">
        <f>E11*E12</f>
        <v>22909.427892999996</v>
      </c>
    </row>
    <row r="14" spans="2:5" ht="17.25" customHeight="1">
      <c r="B14" s="173"/>
      <c r="C14" s="151" t="s">
        <v>144</v>
      </c>
      <c r="D14" s="148"/>
      <c r="E14" s="174">
        <f>SUM(BLANK!I83)</f>
        <v>1.5</v>
      </c>
    </row>
    <row r="15" spans="2:5" ht="17.25" customHeight="1">
      <c r="B15" s="174">
        <f>SUM(BLANK!I85:I86)</f>
        <v>0</v>
      </c>
      <c r="C15" s="148" t="s">
        <v>127</v>
      </c>
      <c r="D15" s="148"/>
      <c r="E15" s="174">
        <f>SUM(BLANK!I85:I86)</f>
        <v>0</v>
      </c>
    </row>
    <row r="16" spans="2:5" ht="17.25" customHeight="1">
      <c r="B16" s="174">
        <f>SUM(BLANK!D88)</f>
        <v>0</v>
      </c>
      <c r="C16" s="148" t="s">
        <v>120</v>
      </c>
      <c r="D16" s="148"/>
      <c r="E16" s="174">
        <f>SUM(BLANK!D88)</f>
        <v>0</v>
      </c>
    </row>
    <row r="17" spans="2:5" ht="17.25" customHeight="1">
      <c r="B17" s="174">
        <f>SUM(BLANK!D89)</f>
        <v>0</v>
      </c>
      <c r="C17" s="148" t="s">
        <v>121</v>
      </c>
      <c r="D17" s="148"/>
      <c r="E17" s="174">
        <f>SUM(BLANK!D89)</f>
        <v>0</v>
      </c>
    </row>
    <row r="18" spans="2:5" ht="17.25" customHeight="1">
      <c r="B18" s="174">
        <f>SUM(BLANK!I90)</f>
        <v>0</v>
      </c>
      <c r="C18" s="148" t="s">
        <v>122</v>
      </c>
      <c r="D18" s="148"/>
      <c r="E18" s="174">
        <f>SUM(BLANK!I90)</f>
        <v>0</v>
      </c>
    </row>
    <row r="19" spans="2:5" ht="17.25" customHeight="1">
      <c r="B19" s="174">
        <f>SUM(BLANK!I94)</f>
        <v>1439.74606</v>
      </c>
      <c r="C19" s="149" t="s">
        <v>128</v>
      </c>
      <c r="D19" s="149"/>
      <c r="E19" s="174">
        <f>SUM(BLANK!I94)</f>
        <v>1439.74606</v>
      </c>
    </row>
    <row r="20" spans="2:5" ht="17.25" customHeight="1">
      <c r="B20" s="176">
        <f>IF((BLANK!E105-BLANK!I28)&gt;(BLANK!I28*0.01),((BLANK!E105-BLANK!I28)*0.5),0)</f>
        <v>156.2449999999999</v>
      </c>
      <c r="C20" s="149" t="s">
        <v>129</v>
      </c>
      <c r="D20" s="149"/>
      <c r="E20" s="176">
        <f>SUM(BLANK!I96:I97)</f>
        <v>336.575</v>
      </c>
    </row>
    <row r="21" spans="2:5" ht="17.25" customHeight="1">
      <c r="B21" s="174">
        <f>SUM(B13:B20)</f>
        <v>24239.21852</v>
      </c>
      <c r="C21" s="149" t="s">
        <v>130</v>
      </c>
      <c r="D21" s="149"/>
      <c r="E21" s="174">
        <f>SUM(E13:E20)</f>
        <v>24687.248953</v>
      </c>
    </row>
    <row r="22" spans="2:5" ht="17.25" customHeight="1">
      <c r="B22" s="176">
        <f>SUM(BLANK!I101:I102)</f>
        <v>0</v>
      </c>
      <c r="C22" s="148" t="s">
        <v>131</v>
      </c>
      <c r="D22" s="148"/>
      <c r="E22" s="176">
        <f>SUM(BLANK!I101:I102)</f>
        <v>0</v>
      </c>
    </row>
    <row r="23" spans="2:5" ht="17.25" customHeight="1">
      <c r="B23" s="158">
        <f>SUM(B21:B22)</f>
        <v>24239.21852</v>
      </c>
      <c r="C23" s="148" t="s">
        <v>132</v>
      </c>
      <c r="D23" s="148"/>
      <c r="E23" s="158">
        <f>SUM(E21:E22)</f>
        <v>24687.248953</v>
      </c>
    </row>
    <row r="24" spans="2:5" ht="17.25" customHeight="1">
      <c r="B24" s="157">
        <f>SUM(BLANK!I107)</f>
        <v>3035.15</v>
      </c>
      <c r="C24" s="150" t="s">
        <v>123</v>
      </c>
      <c r="D24" s="150"/>
      <c r="E24" s="157">
        <f>SUM(BLANK!I107)</f>
        <v>3035.15</v>
      </c>
    </row>
    <row r="25" spans="2:5" ht="17.25" customHeight="1">
      <c r="B25" s="156">
        <f>B23*B24</f>
        <v>73569664.090978</v>
      </c>
      <c r="C25" s="148" t="s">
        <v>124</v>
      </c>
      <c r="D25" s="148"/>
      <c r="E25" s="156">
        <f>E23*E24</f>
        <v>74929503.65969795</v>
      </c>
    </row>
    <row r="26" spans="3:5" ht="17.25" customHeight="1">
      <c r="C26" s="151" t="s">
        <v>154</v>
      </c>
      <c r="D26" s="148"/>
      <c r="E26" s="156">
        <f>SUM(BLANK!I111)</f>
        <v>0</v>
      </c>
    </row>
    <row r="27" spans="2:5" ht="17.25" customHeight="1">
      <c r="B27" s="156">
        <f>SUM(BLANK!I121:I121)</f>
        <v>-132750</v>
      </c>
      <c r="C27" s="148" t="s">
        <v>125</v>
      </c>
      <c r="D27" s="148"/>
      <c r="E27" s="156">
        <f>SUM(BLANK!I121:I121)</f>
        <v>-132750</v>
      </c>
    </row>
    <row r="28" spans="2:5" ht="17.25" customHeight="1" thickBot="1">
      <c r="B28" s="173">
        <f>-SUM(BLANK!H126:H127)</f>
        <v>-265590.12</v>
      </c>
      <c r="C28" s="148" t="s">
        <v>107</v>
      </c>
      <c r="D28" s="148"/>
      <c r="E28" s="159">
        <f>SUM(BLANK!I130)</f>
        <v>-265590.12</v>
      </c>
    </row>
    <row r="29" spans="3:5" ht="17.25" customHeight="1" thickTop="1">
      <c r="C29" s="151" t="s">
        <v>134</v>
      </c>
      <c r="D29" s="148"/>
      <c r="E29" s="156">
        <f>SUM(BLANK!I132)</f>
        <v>0</v>
      </c>
    </row>
    <row r="30" spans="2:5" ht="17.25" customHeight="1">
      <c r="B30" s="156">
        <f>SUM(B25:B29)</f>
        <v>73171323.97097799</v>
      </c>
      <c r="C30" s="148" t="s">
        <v>126</v>
      </c>
      <c r="D30" s="148"/>
      <c r="E30" s="156">
        <f>SUM(E25:E29)</f>
        <v>74531163.53969795</v>
      </c>
    </row>
  </sheetData>
  <printOptions/>
  <pageMargins left="0.75" right="0.75" top="1" bottom="1" header="0.5" footer="0.5"/>
  <pageSetup horizontalDpi="600" verticalDpi="600" orientation="portrait" r:id="rId1"/>
  <headerFooter alignWithMargins="0">
    <oddHeader>&amp;C&amp;"Arial,Bold"&amp;12Summary of State Rqualization Guarantee Calculation - 910B-5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School Budget Planning Unit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Kathleen Forrer</dc:creator>
  <cp:keywords/>
  <dc:description/>
  <cp:lastModifiedBy>Carmen Arrieta</cp:lastModifiedBy>
  <cp:lastPrinted>2003-04-22T19:45:34Z</cp:lastPrinted>
  <dcterms:created xsi:type="dcterms:W3CDTF">1998-02-20T21:21:02Z</dcterms:created>
  <dcterms:modified xsi:type="dcterms:W3CDTF">2004-04-20T05:15:42Z</dcterms:modified>
  <cp:category/>
  <cp:version/>
  <cp:contentType/>
  <cp:contentStatus/>
</cp:coreProperties>
</file>