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180" tabRatio="652" activeTab="0"/>
  </bookViews>
  <sheets>
    <sheet name="910B-5" sheetId="1" r:id="rId1"/>
    <sheet name="Cash Balance Credit" sheetId="2" r:id="rId2"/>
  </sheets>
  <definedNames>
    <definedName name="_xlnm.Print_Area" localSheetId="0">'910B-5'!$A$1:$I$185</definedName>
    <definedName name="_xlnm.Print_Area" localSheetId="1">'Cash Balance Credit'!$A$1:$B$38</definedName>
  </definedNames>
  <calcPr fullCalcOnLoad="1" fullPrecision="0"/>
</workbook>
</file>

<file path=xl/comments1.xml><?xml version="1.0" encoding="utf-8"?>
<comments xmlns="http://schemas.openxmlformats.org/spreadsheetml/2006/main">
  <authors>
    <author>School Budget</author>
    <author>bowker</author>
  </authors>
  <commentList>
    <comment ref="I133" authorId="0">
      <text>
        <r>
          <rPr>
            <b/>
            <sz val="8"/>
            <rFont val="Tahoma"/>
            <family val="2"/>
          </rPr>
          <t>School Budget:</t>
        </r>
        <r>
          <rPr>
            <sz val="8"/>
            <rFont val="Tahoma"/>
            <family val="2"/>
          </rPr>
          <t xml:space="preserve">
2% Retained is only for CHARTERS; must enter a "Y" in box above for formula to work</t>
        </r>
      </text>
    </comment>
    <comment ref="I25" authorId="0">
      <text>
        <r>
          <rPr>
            <sz val="8"/>
            <rFont val="Tahoma"/>
            <family val="2"/>
          </rPr>
          <t>Leave blank if Charter School students are included in above grade level breakdown</t>
        </r>
      </text>
    </comment>
    <comment ref="E109" authorId="0">
      <text>
        <r>
          <rPr>
            <sz val="8"/>
            <rFont val="Tahoma"/>
            <family val="2"/>
          </rPr>
          <t xml:space="preserve">This number s/b the number from the "Grade FTE Total" column from the Current year 40th Day report.
</t>
        </r>
      </text>
    </comment>
    <comment ref="I105" authorId="0">
      <text>
        <r>
          <rPr>
            <b/>
            <sz val="8"/>
            <rFont val="Tahoma"/>
            <family val="2"/>
          </rPr>
          <t>School Budget:</t>
        </r>
        <r>
          <rPr>
            <sz val="8"/>
            <rFont val="Tahoma"/>
            <family val="2"/>
          </rPr>
          <t xml:space="preserve">
Only for the 40th Day SEG Adjustment calculation!
</t>
        </r>
      </text>
    </comment>
    <comment ref="E112" authorId="1">
      <text>
        <r>
          <rPr>
            <sz val="8"/>
            <rFont val="Tahoma"/>
            <family val="2"/>
          </rPr>
          <t>This number should be
The TOTAL MEM from your 2006-2007 Projected MEM Worksheet.</t>
        </r>
      </text>
    </comment>
  </commentList>
</comments>
</file>

<file path=xl/sharedStrings.xml><?xml version="1.0" encoding="utf-8"?>
<sst xmlns="http://schemas.openxmlformats.org/spreadsheetml/2006/main" count="228" uniqueCount="192">
  <si>
    <t xml:space="preserve"> </t>
  </si>
  <si>
    <t>MEM</t>
  </si>
  <si>
    <t>C &amp;</t>
  </si>
  <si>
    <t>D &amp;</t>
  </si>
  <si>
    <t>GRADE</t>
  </si>
  <si>
    <t>3Y DD</t>
  </si>
  <si>
    <t>4Y DD</t>
  </si>
  <si>
    <t>C-GIFTED</t>
  </si>
  <si>
    <t>D-GIFTED</t>
  </si>
  <si>
    <t>*BASIC</t>
  </si>
  <si>
    <t>TOTAL</t>
  </si>
  <si>
    <t>Grade  1</t>
  </si>
  <si>
    <t>Grade  2</t>
  </si>
  <si>
    <t>Grade  3</t>
  </si>
  <si>
    <t>Grade  4</t>
  </si>
  <si>
    <t>Grade  5</t>
  </si>
  <si>
    <t>Grade  6</t>
  </si>
  <si>
    <t>Grade  7</t>
  </si>
  <si>
    <t>Grade  8</t>
  </si>
  <si>
    <t>Grade  9</t>
  </si>
  <si>
    <t>Grade 10</t>
  </si>
  <si>
    <t>Grade 11</t>
  </si>
  <si>
    <t>Grade 12</t>
  </si>
  <si>
    <t>ECE FTE</t>
  </si>
  <si>
    <t>*INCLUDE STUDENTS RECEIVING A/B SERVICES</t>
  </si>
  <si>
    <t>TOTAL GRADES 1-12</t>
  </si>
  <si>
    <t>TOTAL MEM</t>
  </si>
  <si>
    <t>ECE</t>
  </si>
  <si>
    <t>COST</t>
  </si>
  <si>
    <t>PROGRAM</t>
  </si>
  <si>
    <t>PROGRAM COST</t>
  </si>
  <si>
    <t>FTE</t>
  </si>
  <si>
    <t>INDEX</t>
  </si>
  <si>
    <t>UNITS</t>
  </si>
  <si>
    <t>C &amp; C-Gifted</t>
  </si>
  <si>
    <t>D &amp; D-Gifted</t>
  </si>
  <si>
    <t>3 Yr. DD</t>
  </si>
  <si>
    <t>4 Yr. DD</t>
  </si>
  <si>
    <t>A/B MEM (Reg/Gifted)</t>
  </si>
  <si>
    <t>HOURS</t>
  </si>
  <si>
    <t>Total Bilingual</t>
  </si>
  <si>
    <t>(May not total more than the no. of students in grades K-12.)</t>
  </si>
  <si>
    <t>TOTAL MEMBERSHIP PROGRAM UNITS</t>
  </si>
  <si>
    <t>ADJUSTED PROGRAM UNITS</t>
  </si>
  <si>
    <t xml:space="preserve">Size Adjustment Units </t>
  </si>
  <si>
    <t>At-Risk Units</t>
  </si>
  <si>
    <t>Growth Units</t>
  </si>
  <si>
    <t>GRAND TOTAL UNITS</t>
  </si>
  <si>
    <t>× Unit Value</t>
  </si>
  <si>
    <t>STATE EQUALIZATION GUARANTEE</t>
  </si>
  <si>
    <t>((200 – MEM)/200) × (1.0 × MEM) = UNITS</t>
  </si>
  <si>
    <t>SCHOOL NAME</t>
  </si>
  <si>
    <t>CODE</t>
  </si>
  <si>
    <t>GRADES</t>
  </si>
  <si>
    <t>SENIOR HIGH SCHOOL</t>
  </si>
  <si>
    <t>TOTAL SENIOR HIGH SCHOOL UNITS</t>
  </si>
  <si>
    <t>RURAL ISOLATION</t>
  </si>
  <si>
    <t>(4,000  –  (MEM / Eligible Senior High Schools))  ×  0.5  =  UNITS</t>
  </si>
  <si>
    <t>Enter the number of approved senior high schools not eligible for senior high size units:</t>
  </si>
  <si>
    <t>NEW DISTRICT ADJUSTMENT</t>
  </si>
  <si>
    <t>If district is eligible, enter    YES     in the appropriate box.</t>
  </si>
  <si>
    <t>YES?</t>
  </si>
  <si>
    <t>a.  NEWLY CREATED SCHOOL DISTRICT</t>
  </si>
  <si>
    <t>(MEM for current year) × .147 = UNITS</t>
  </si>
  <si>
    <t>b.  DISTRICT WHOSE MEMBERSHIP DECREASES AS A RESULT OF A NEWLY CREATED DISTRICT</t>
  </si>
  <si>
    <t>(MEM for prior year – MEM for current year) × .17 = UNITS</t>
  </si>
  <si>
    <t xml:space="preserve">SIZE ADJUSTMENT UNITS: </t>
  </si>
  <si>
    <t>Totals</t>
  </si>
  <si>
    <t>SUBTOTAL MEM</t>
  </si>
  <si>
    <t>School Size Adjustment Units</t>
  </si>
  <si>
    <t>District Size Adjustment Units</t>
  </si>
  <si>
    <t>FDK</t>
  </si>
  <si>
    <t>Kindergarten</t>
  </si>
  <si>
    <t>Basic Program Units</t>
  </si>
  <si>
    <t>Kindergarten Units</t>
  </si>
  <si>
    <t xml:space="preserve">the formula which yields the most units):  </t>
  </si>
  <si>
    <t xml:space="preserve">Based on district MEM (Basic 1-12, Special Education C and D, Non-Profit and Operational Fund Childhood FTE), a district is </t>
  </si>
  <si>
    <t>eligible for units if it has a MEM greater than 10,000 with a ratio of MEM to senior high schools less than 4,000:1.</t>
  </si>
  <si>
    <t>Other Misc Credits</t>
  </si>
  <si>
    <t>Total Other Credits</t>
  </si>
  <si>
    <t>Rural Isolation Units</t>
  </si>
  <si>
    <t>New District Adjustment Units</t>
  </si>
  <si>
    <t>N</t>
  </si>
  <si>
    <t>Factor</t>
  </si>
  <si>
    <t>Bilingual Units</t>
  </si>
  <si>
    <t>Fine Arts Program Units</t>
  </si>
  <si>
    <t>At-risk index</t>
  </si>
  <si>
    <t>Other Credits/Adjustments:</t>
  </si>
  <si>
    <t>National Board Certified Teachers</t>
  </si>
  <si>
    <t>National Board Certified Teachers Units:</t>
  </si>
  <si>
    <t>At Risk Units</t>
  </si>
  <si>
    <t>Is this a Charter School?</t>
  </si>
  <si>
    <t>Is this for the 40th Day?</t>
  </si>
  <si>
    <t>TOTAL PROGRAM UNITS</t>
  </si>
  <si>
    <t>40th Day Calculation</t>
  </si>
  <si>
    <t>Save Harmless Units</t>
  </si>
  <si>
    <t>Energy Efficiency</t>
  </si>
  <si>
    <t>Cash Balance Credit</t>
  </si>
  <si>
    <t>Total Non-Cat Rev Credits</t>
  </si>
  <si>
    <t>ECE, FDK-New, and FDK</t>
  </si>
  <si>
    <t xml:space="preserve">  *</t>
  </si>
  <si>
    <t>Grade  10</t>
  </si>
  <si>
    <t>Grade  11</t>
  </si>
  <si>
    <t>Grade  12</t>
  </si>
  <si>
    <t>Grade  01</t>
  </si>
  <si>
    <t>Grade  02</t>
  </si>
  <si>
    <t>Grade  03</t>
  </si>
  <si>
    <t>Grade  04</t>
  </si>
  <si>
    <t>Grade  05</t>
  </si>
  <si>
    <t>Grade  06</t>
  </si>
  <si>
    <t>Grade  07</t>
  </si>
  <si>
    <t>Grade  08</t>
  </si>
  <si>
    <t>Grade  09</t>
  </si>
  <si>
    <t xml:space="preserve">  * Includes Vocational Weighting</t>
  </si>
  <si>
    <t xml:space="preserve">Elementary/Mid/Jr. High  </t>
  </si>
  <si>
    <t xml:space="preserve">Senior High  </t>
  </si>
  <si>
    <t xml:space="preserve">District Size  </t>
  </si>
  <si>
    <t>Non-categorical Revenue Credits:</t>
  </si>
  <si>
    <t>TOTAL ELEMENTARY/MIDDLE SCHOOL/JUNIOR HIGH UNITS</t>
  </si>
  <si>
    <t>ELEMENTARY/MIDDLE SCHOOL/JUNIOR HIGH</t>
  </si>
  <si>
    <t>ECE/KN</t>
  </si>
  <si>
    <t>Takes Prior Year 40th-Day and compares to Current Year 40th-Day</t>
  </si>
  <si>
    <t>Growth Data</t>
  </si>
  <si>
    <t>Save-Harmless Data</t>
  </si>
  <si>
    <t>Percentage for Allowable Cash</t>
  </si>
  <si>
    <t>Allowable Cash Balance Limit</t>
  </si>
  <si>
    <t>18% Test (20% for APS)</t>
  </si>
  <si>
    <t>Excess Cash Test</t>
  </si>
  <si>
    <t>Adjusted Operational Revenues</t>
  </si>
  <si>
    <t>Adjusted Operational Revenues/Budgeted Operational Revenues</t>
  </si>
  <si>
    <t>Adjusted Cash Balance</t>
  </si>
  <si>
    <t>Adjusted allowable Cash Balance (after 75% credit adjustment)</t>
  </si>
  <si>
    <t>Less Allowable Cash Balance Limit</t>
  </si>
  <si>
    <t>Excess Cash</t>
  </si>
  <si>
    <t>Excess Cash Penality</t>
  </si>
  <si>
    <t>Lower of Excess Cash or 18% Test (Enter on 910B-5)</t>
  </si>
  <si>
    <t>Tax Levy (41110, 41113, 41114)</t>
  </si>
  <si>
    <t>Federal Impact Aid (44103)</t>
  </si>
  <si>
    <t>Federal Forest Reserve (44204)</t>
  </si>
  <si>
    <t>GROWTH &amp; SAVE HARMLESS CALCULATION DATA</t>
  </si>
  <si>
    <t>18% of Adjusted Cash Balance</t>
  </si>
  <si>
    <t>FTE:</t>
  </si>
  <si>
    <t>Charter Schools Student Activities Units</t>
  </si>
  <si>
    <t>Home School Student Activities Units</t>
  </si>
  <si>
    <t>Charter Schools Student Activities</t>
  </si>
  <si>
    <t>Home School Student Activities</t>
  </si>
  <si>
    <t>Elementary P.E. Program</t>
  </si>
  <si>
    <t>Elementary P.E. Units</t>
  </si>
  <si>
    <t xml:space="preserve">   (Enter the District Mem EXCLUDING Charter Mem)</t>
  </si>
  <si>
    <t>List each school with a projected MEM (Basic 1-9 and Operational Fund Early Childhood FTE EXCLUDING SPECIAL ED.) of less than 200.</t>
  </si>
  <si>
    <t>Kindergarten Program</t>
  </si>
  <si>
    <t>Basic Program</t>
  </si>
  <si>
    <t>Basic Program (Grade Total)</t>
  </si>
  <si>
    <t>Special Education</t>
  </si>
  <si>
    <t>Elementary Fine Arts Program</t>
  </si>
  <si>
    <t>Bilingual Program</t>
  </si>
  <si>
    <t>(Districts Only)</t>
  </si>
  <si>
    <t>(Not Grand Total Program Units)</t>
  </si>
  <si>
    <t>schoolbudget</t>
  </si>
  <si>
    <t>Special Ed. Units</t>
  </si>
  <si>
    <t>Ancillary FTE Units</t>
  </si>
  <si>
    <t>Adjusted Ancillary  FTE</t>
  </si>
  <si>
    <t>Total Special Education Units</t>
  </si>
  <si>
    <r>
      <t>Less</t>
    </r>
    <r>
      <rPr>
        <sz val="8"/>
        <rFont val="Lucida Sans"/>
        <family val="2"/>
      </rPr>
      <t>: 75% of Non-Categorical Revenue  Credits</t>
    </r>
  </si>
  <si>
    <r>
      <t>Less</t>
    </r>
    <r>
      <rPr>
        <sz val="8"/>
        <rFont val="Lucida Sans"/>
        <family val="2"/>
      </rPr>
      <t>: Other Credits/Adjustments</t>
    </r>
  </si>
  <si>
    <r>
      <t xml:space="preserve">List each school with a projected MEM </t>
    </r>
    <r>
      <rPr>
        <i/>
        <sz val="8"/>
        <rFont val="Lucida Sans"/>
        <family val="2"/>
      </rPr>
      <t>(Basic 7-12 EXCLUDING SP. ED.)</t>
    </r>
    <r>
      <rPr>
        <sz val="8"/>
        <rFont val="Lucida Sans"/>
        <family val="2"/>
      </rPr>
      <t xml:space="preserve"> of less than 400 </t>
    </r>
    <r>
      <rPr>
        <i/>
        <sz val="8"/>
        <rFont val="Lucida Sans"/>
        <family val="2"/>
      </rPr>
      <t>(program units will be computed using</t>
    </r>
  </si>
  <si>
    <r>
      <t xml:space="preserve">((200 – MEM)/200) × (2.0 × MEM) = UNITS    </t>
    </r>
    <r>
      <rPr>
        <i/>
        <sz val="8"/>
        <rFont val="Lucida Sans"/>
        <family val="2"/>
      </rPr>
      <t>or</t>
    </r>
    <r>
      <rPr>
        <sz val="8"/>
        <rFont val="Lucida Sans"/>
        <family val="2"/>
      </rPr>
      <t xml:space="preserve">    ((400 – MEM)/400) × (1.6 × MEM) = UNITS</t>
    </r>
  </si>
  <si>
    <r>
      <t>Enter the number of approved senior high schools</t>
    </r>
    <r>
      <rPr>
        <i/>
        <sz val="8"/>
        <rFont val="Lucida Sans"/>
        <family val="2"/>
      </rPr>
      <t xml:space="preserve"> (exclude alternative schools):</t>
    </r>
  </si>
  <si>
    <t/>
  </si>
  <si>
    <t>PED 910B-5</t>
  </si>
  <si>
    <r>
      <t xml:space="preserve">T &amp; E Index </t>
    </r>
    <r>
      <rPr>
        <i/>
        <sz val="8"/>
        <rFont val="Lucida Sans"/>
        <family val="2"/>
      </rPr>
      <t xml:space="preserve"> (Oct 2010) </t>
    </r>
  </si>
  <si>
    <t>2011-2012:</t>
  </si>
  <si>
    <t>2010-11 Actual 40th Day MEM:</t>
  </si>
  <si>
    <t>2011-12 Projected MEM:</t>
  </si>
  <si>
    <t>2011-2012 Actual 40th MEM</t>
  </si>
  <si>
    <t>2011-2012 40th Day TOTAL PROGRAM UNITS</t>
  </si>
  <si>
    <t>2011-12 Operating Budget Calculation</t>
  </si>
  <si>
    <t>Op-Bud takes 10-11 40 Day compared to 11-12 Mem Proj. FTE</t>
  </si>
  <si>
    <t>2011-2012 CASH BALANCE CREDIT WORKSHEET</t>
  </si>
  <si>
    <t xml:space="preserve">The Cash Balance Credit will be updated as part of the 40-Day adjustment using the 2011-2012 final funded program cost and June 2011 audited (if available) or reported cash balances. </t>
  </si>
  <si>
    <t xml:space="preserve">2010-2011 Final Funded Program Cost </t>
  </si>
  <si>
    <t>2010-2011 Total Budgeted Operational Expenditures (Includes 25250)</t>
  </si>
  <si>
    <t>Budgeted 2010-2011 Operational Revenue</t>
  </si>
  <si>
    <t xml:space="preserve">     Less 2011-2012 Budgeted Impact Aid </t>
  </si>
  <si>
    <t xml:space="preserve">     Less 2011-2012 Budgeted Forest Reserve </t>
  </si>
  <si>
    <t xml:space="preserve">     Less 2011-2012 Budgeted .5 Mill Levy </t>
  </si>
  <si>
    <t>Unrestricted Cash Balance 6/30/10</t>
  </si>
  <si>
    <t>Anthony Charter School</t>
  </si>
  <si>
    <t>019-011</t>
  </si>
  <si>
    <t>Y</t>
  </si>
  <si>
    <t>Anthony High School</t>
  </si>
  <si>
    <t>7-12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</si>
</sst>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0_)"/>
    <numFmt numFmtId="166" formatCode="#,##0.000_);[Red]\(#,##0.000\)"/>
    <numFmt numFmtId="167" formatCode="#,##0.0000_);[Red]\(#,##0.0000\)"/>
    <numFmt numFmtId="168" formatCode="0.0%"/>
    <numFmt numFmtId="169" formatCode="0.000"/>
    <numFmt numFmtId="170" formatCode="#,##0.0000_);\(#,##0.0000\)"/>
    <numFmt numFmtId="171" formatCode="0.000_);[Red]\(0.000\)"/>
    <numFmt numFmtId="172" formatCode="_(* #,##0_);_(* \(#,##0\);_(* &quot;-&quot;??_);_(@_)"/>
  </numFmts>
  <fonts count="73">
    <font>
      <sz val="8"/>
      <name val="Arial"/>
      <family val="2"/>
    </font>
    <font>
      <sz val="11"/>
      <color indexed="8"/>
      <name val="Calibri"/>
      <family val="2"/>
    </font>
    <font>
      <sz val="8"/>
      <name val="AvantGarde Bk BT"/>
      <family val="0"/>
    </font>
    <font>
      <sz val="9"/>
      <name val="Arial"/>
      <family val="2"/>
    </font>
    <font>
      <b/>
      <sz val="9"/>
      <name val="Arial"/>
      <family val="2"/>
    </font>
    <font>
      <b/>
      <sz val="8"/>
      <name val="Arial"/>
      <family val="2"/>
    </font>
    <font>
      <b/>
      <u val="single"/>
      <sz val="10"/>
      <name val="Arial"/>
      <family val="2"/>
    </font>
    <font>
      <b/>
      <i/>
      <u val="single"/>
      <sz val="10"/>
      <name val="Arial"/>
      <family val="2"/>
    </font>
    <font>
      <sz val="8"/>
      <name val="Tahoma"/>
      <family val="2"/>
    </font>
    <font>
      <b/>
      <sz val="8"/>
      <name val="Tahoma"/>
      <family val="2"/>
    </font>
    <font>
      <b/>
      <sz val="10"/>
      <name val="Arial"/>
      <family val="2"/>
    </font>
    <font>
      <b/>
      <sz val="11"/>
      <name val="Arial"/>
      <family val="2"/>
    </font>
    <font>
      <b/>
      <sz val="12"/>
      <name val="Arial"/>
      <family val="2"/>
    </font>
    <font>
      <b/>
      <u val="single"/>
      <sz val="8"/>
      <name val="Arial"/>
      <family val="2"/>
    </font>
    <font>
      <b/>
      <i/>
      <sz val="14"/>
      <name val="Arial"/>
      <family val="2"/>
    </font>
    <font>
      <sz val="14"/>
      <name val="Arial"/>
      <family val="2"/>
    </font>
    <font>
      <b/>
      <i/>
      <sz val="10"/>
      <color indexed="10"/>
      <name val="Arial"/>
      <family val="2"/>
    </font>
    <font>
      <b/>
      <i/>
      <sz val="9.5"/>
      <color indexed="10"/>
      <name val="Arial"/>
      <family val="2"/>
    </font>
    <font>
      <sz val="10"/>
      <name val="Arial"/>
      <family val="2"/>
    </font>
    <font>
      <b/>
      <i/>
      <sz val="12"/>
      <name val="Arial"/>
      <family val="2"/>
    </font>
    <font>
      <sz val="12"/>
      <name val="Arial"/>
      <family val="2"/>
    </font>
    <font>
      <b/>
      <sz val="10"/>
      <name val="Lucida Sans"/>
      <family val="2"/>
    </font>
    <font>
      <b/>
      <sz val="8"/>
      <name val="Lucida Sans"/>
      <family val="2"/>
    </font>
    <font>
      <sz val="8"/>
      <name val="Lucida Sans"/>
      <family val="2"/>
    </font>
    <font>
      <b/>
      <i/>
      <sz val="8"/>
      <name val="Lucida Sans"/>
      <family val="2"/>
    </font>
    <font>
      <b/>
      <u val="single"/>
      <sz val="10"/>
      <name val="Lucida Sans"/>
      <family val="2"/>
    </font>
    <font>
      <b/>
      <sz val="9"/>
      <name val="Lucida Sans"/>
      <family val="2"/>
    </font>
    <font>
      <sz val="9"/>
      <name val="Lucida Sans"/>
      <family val="2"/>
    </font>
    <font>
      <i/>
      <sz val="8"/>
      <name val="Lucida Sans"/>
      <family val="2"/>
    </font>
    <font>
      <b/>
      <sz val="7"/>
      <name val="Lucida Sans"/>
      <family val="2"/>
    </font>
    <font>
      <i/>
      <sz val="8"/>
      <color indexed="33"/>
      <name val="Lucida Sans"/>
      <family val="2"/>
    </font>
    <font>
      <sz val="7"/>
      <name val="Lucida Sans"/>
      <family val="2"/>
    </font>
    <font>
      <sz val="8"/>
      <color indexed="20"/>
      <name val="Lucida Sans"/>
      <family val="2"/>
    </font>
    <font>
      <b/>
      <i/>
      <sz val="10"/>
      <name val="Lucida Sans"/>
      <family val="2"/>
    </font>
    <font>
      <u val="single"/>
      <sz val="8"/>
      <name val="Lucida Sans"/>
      <family val="2"/>
    </font>
    <font>
      <b/>
      <sz val="11"/>
      <name val="Lucida Sans"/>
      <family val="2"/>
    </font>
    <font>
      <b/>
      <sz val="12"/>
      <name val="Lucida Sans"/>
      <family val="2"/>
    </font>
    <font>
      <sz val="9.5"/>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0"/>
    </font>
    <font>
      <u val="single"/>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2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top style="thin"/>
      <bottom/>
    </border>
    <border>
      <left style="thin"/>
      <right/>
      <top/>
      <bottom/>
    </border>
    <border>
      <left style="thin"/>
      <right/>
      <top/>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0" fontId="2" fillId="0" borderId="0" applyFont="0" applyFill="0" applyBorder="0" applyAlignment="0" applyProtection="0"/>
    <xf numFmtId="38" fontId="2" fillId="0" borderId="0" applyFont="0" applyFill="0" applyBorder="0" applyAlignment="0" applyProtection="0"/>
    <xf numFmtId="8" fontId="2"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10" fontId="2"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166" fontId="2" fillId="0" borderId="0" applyFont="0" applyFill="0" applyBorder="0" applyAlignment="0" applyProtection="0"/>
    <xf numFmtId="0" fontId="72" fillId="0" borderId="0" applyNumberFormat="0" applyFill="0" applyBorder="0" applyAlignment="0" applyProtection="0"/>
  </cellStyleXfs>
  <cellXfs count="278">
    <xf numFmtId="0" fontId="0" fillId="0" borderId="0" xfId="0" applyAlignment="1">
      <alignment/>
    </xf>
    <xf numFmtId="0" fontId="0" fillId="0" borderId="0" xfId="0" applyAlignment="1">
      <alignment vertical="center"/>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horizontal="center" vertical="center"/>
      <protection/>
    </xf>
    <xf numFmtId="166" fontId="0" fillId="0" borderId="0" xfId="0" applyNumberFormat="1" applyFont="1" applyAlignment="1" applyProtection="1">
      <alignment vertical="center"/>
      <protection/>
    </xf>
    <xf numFmtId="40" fontId="0" fillId="0" borderId="0" xfId="42" applyFont="1" applyAlignment="1" applyProtection="1">
      <alignment vertical="center"/>
      <protection/>
    </xf>
    <xf numFmtId="166" fontId="0" fillId="0" borderId="0" xfId="42" applyNumberFormat="1" applyFont="1" applyAlignment="1" applyProtection="1">
      <alignment vertical="center"/>
      <protection/>
    </xf>
    <xf numFmtId="0" fontId="0" fillId="0" borderId="0" xfId="0" applyAlignment="1" applyProtection="1">
      <alignment vertical="center"/>
      <protection/>
    </xf>
    <xf numFmtId="166" fontId="0" fillId="0" borderId="0" xfId="42" applyNumberFormat="1" applyFont="1" applyBorder="1" applyAlignment="1" applyProtection="1">
      <alignment vertical="center"/>
      <protection/>
    </xf>
    <xf numFmtId="0" fontId="0" fillId="0" borderId="0" xfId="0" applyFont="1" applyAlignment="1" applyProtection="1">
      <alignment vertical="center"/>
      <protection/>
    </xf>
    <xf numFmtId="0" fontId="6" fillId="0" borderId="0" xfId="0" applyFont="1" applyAlignment="1" applyProtection="1" quotePrefix="1">
      <alignment horizontal="left" vertical="center"/>
      <protection/>
    </xf>
    <xf numFmtId="0" fontId="6" fillId="0" borderId="0" xfId="0" applyFont="1" applyAlignment="1" applyProtection="1">
      <alignment vertical="center"/>
      <protection/>
    </xf>
    <xf numFmtId="0" fontId="6" fillId="0" borderId="0" xfId="0" applyFont="1" applyAlignment="1">
      <alignment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Font="1" applyAlignment="1" applyProtection="1">
      <alignment horizontal="center" vertical="top"/>
      <protection/>
    </xf>
    <xf numFmtId="0" fontId="0" fillId="0" borderId="0" xfId="0" applyAlignment="1">
      <alignment vertical="top"/>
    </xf>
    <xf numFmtId="0" fontId="0" fillId="0" borderId="0" xfId="0" applyFont="1" applyAlignment="1" applyProtection="1">
      <alignment horizontal="center"/>
      <protection/>
    </xf>
    <xf numFmtId="0" fontId="0" fillId="0" borderId="0" xfId="0" applyAlignment="1">
      <alignment/>
    </xf>
    <xf numFmtId="0" fontId="7" fillId="0" borderId="0" xfId="0" applyFont="1" applyAlignment="1">
      <alignment vertical="center"/>
    </xf>
    <xf numFmtId="0" fontId="10" fillId="0" borderId="0" xfId="0" applyFont="1" applyBorder="1" applyAlignment="1" applyProtection="1">
      <alignment vertical="center"/>
      <protection/>
    </xf>
    <xf numFmtId="0" fontId="6" fillId="0" borderId="0" xfId="0" applyFont="1" applyAlignment="1">
      <alignment horizontal="centerContinuous" vertical="center"/>
    </xf>
    <xf numFmtId="0" fontId="6" fillId="0" borderId="0" xfId="0" applyFont="1" applyBorder="1" applyAlignment="1">
      <alignment vertical="center"/>
    </xf>
    <xf numFmtId="0" fontId="6" fillId="0" borderId="0" xfId="0" applyFont="1" applyBorder="1" applyAlignment="1" applyProtection="1">
      <alignment vertical="center"/>
      <protection/>
    </xf>
    <xf numFmtId="0" fontId="6" fillId="0" borderId="0" xfId="0" applyFont="1" applyAlignment="1" applyProtection="1">
      <alignment horizontal="center"/>
      <protection/>
    </xf>
    <xf numFmtId="0" fontId="6" fillId="0" borderId="0" xfId="0" applyFont="1" applyAlignment="1" applyProtection="1">
      <alignment horizontal="center" vertical="top"/>
      <protection/>
    </xf>
    <xf numFmtId="0" fontId="6" fillId="0" borderId="0" xfId="0" applyFont="1" applyAlignment="1" applyProtection="1">
      <alignment horizontal="right" vertical="center"/>
      <protection/>
    </xf>
    <xf numFmtId="0" fontId="5" fillId="0" borderId="0" xfId="0" applyFont="1" applyAlignment="1" applyProtection="1">
      <alignment horizontal="left" vertical="center"/>
      <protection/>
    </xf>
    <xf numFmtId="0" fontId="10" fillId="0" borderId="0" xfId="0" applyFont="1" applyAlignment="1" applyProtection="1">
      <alignment horizontal="right" vertical="center"/>
      <protection/>
    </xf>
    <xf numFmtId="0" fontId="13" fillId="0" borderId="0" xfId="0" applyFont="1" applyAlignment="1">
      <alignment vertical="center"/>
    </xf>
    <xf numFmtId="0" fontId="13" fillId="0" borderId="0" xfId="0" applyFont="1" applyAlignment="1" applyProtection="1">
      <alignment vertical="center"/>
      <protection/>
    </xf>
    <xf numFmtId="0" fontId="16" fillId="0" borderId="0" xfId="0" applyFont="1" applyAlignment="1">
      <alignment horizontal="center" vertical="center"/>
    </xf>
    <xf numFmtId="0" fontId="18" fillId="0" borderId="10" xfId="0" applyNumberFormat="1" applyFont="1" applyBorder="1" applyAlignment="1">
      <alignment horizontal="left" vertical="center"/>
    </xf>
    <xf numFmtId="0" fontId="18" fillId="33" borderId="11" xfId="0" applyNumberFormat="1" applyFont="1" applyFill="1" applyBorder="1" applyAlignment="1">
      <alignment horizontal="left"/>
    </xf>
    <xf numFmtId="0" fontId="12" fillId="0" borderId="0" xfId="0" applyFont="1" applyAlignment="1">
      <alignment/>
    </xf>
    <xf numFmtId="0" fontId="18" fillId="33" borderId="12" xfId="0" applyNumberFormat="1" applyFont="1" applyFill="1" applyBorder="1" applyAlignment="1">
      <alignment horizontal="left" vertical="center"/>
    </xf>
    <xf numFmtId="0" fontId="12" fillId="0" borderId="0" xfId="0" applyFont="1" applyAlignment="1">
      <alignment horizontal="center" vertical="center"/>
    </xf>
    <xf numFmtId="0" fontId="12" fillId="0" borderId="0" xfId="0" applyFont="1" applyAlignment="1">
      <alignment horizontal="center" vertical="top"/>
    </xf>
    <xf numFmtId="0" fontId="18" fillId="33" borderId="12" xfId="0" applyNumberFormat="1" applyFont="1" applyFill="1" applyBorder="1" applyAlignment="1">
      <alignment horizontal="left" vertical="top"/>
    </xf>
    <xf numFmtId="0" fontId="19" fillId="0" borderId="0" xfId="0" applyFont="1" applyAlignment="1">
      <alignment horizontal="center" vertical="top"/>
    </xf>
    <xf numFmtId="0" fontId="10" fillId="33" borderId="12" xfId="0" applyNumberFormat="1" applyFont="1" applyFill="1" applyBorder="1" applyAlignment="1">
      <alignment horizontal="left" vertical="center"/>
    </xf>
    <xf numFmtId="0" fontId="20" fillId="0" borderId="0" xfId="0" applyFont="1" applyAlignment="1">
      <alignment vertical="center"/>
    </xf>
    <xf numFmtId="0" fontId="18" fillId="0" borderId="12" xfId="0" applyNumberFormat="1" applyFont="1" applyFill="1" applyBorder="1" applyAlignment="1">
      <alignment horizontal="left" vertical="center"/>
    </xf>
    <xf numFmtId="0" fontId="18" fillId="33" borderId="13" xfId="0" applyNumberFormat="1" applyFont="1" applyFill="1" applyBorder="1" applyAlignment="1">
      <alignment horizontal="left" vertical="center"/>
    </xf>
    <xf numFmtId="0" fontId="18" fillId="0" borderId="0" xfId="0" applyNumberFormat="1" applyFont="1" applyAlignment="1">
      <alignment horizontal="left" vertical="center"/>
    </xf>
    <xf numFmtId="172" fontId="10" fillId="0" borderId="0" xfId="42" applyNumberFormat="1" applyFont="1" applyAlignment="1">
      <alignment vertical="center"/>
    </xf>
    <xf numFmtId="0" fontId="10" fillId="0" borderId="0" xfId="0" applyNumberFormat="1" applyFont="1" applyAlignment="1">
      <alignment horizontal="right" vertical="center"/>
    </xf>
    <xf numFmtId="172" fontId="10" fillId="0" borderId="0" xfId="42" applyNumberFormat="1" applyFont="1" applyAlignment="1">
      <alignment horizontal="center" vertical="center"/>
    </xf>
    <xf numFmtId="0" fontId="10" fillId="0" borderId="12" xfId="0" applyNumberFormat="1" applyFont="1" applyFill="1" applyBorder="1" applyAlignment="1">
      <alignment horizontal="left" vertical="top"/>
    </xf>
    <xf numFmtId="0" fontId="4" fillId="0" borderId="12" xfId="0" applyNumberFormat="1" applyFont="1" applyFill="1" applyBorder="1" applyAlignment="1">
      <alignment horizontal="left" vertical="center"/>
    </xf>
    <xf numFmtId="0" fontId="10" fillId="0" borderId="12" xfId="0" applyNumberFormat="1" applyFont="1" applyFill="1" applyBorder="1" applyAlignment="1">
      <alignment horizontal="left" vertical="center"/>
    </xf>
    <xf numFmtId="0" fontId="10" fillId="0" borderId="0" xfId="0" applyFont="1" applyAlignment="1" applyProtection="1">
      <alignment vertical="center"/>
      <protection/>
    </xf>
    <xf numFmtId="0" fontId="10" fillId="0" borderId="0" xfId="0" applyFont="1" applyAlignment="1">
      <alignment vertical="center"/>
    </xf>
    <xf numFmtId="0" fontId="21" fillId="0" borderId="0" xfId="0" applyFont="1" applyAlignment="1" applyProtection="1">
      <alignment horizontal="left" vertical="center"/>
      <protection/>
    </xf>
    <xf numFmtId="0" fontId="21" fillId="0" borderId="0" xfId="0" applyFont="1" applyBorder="1" applyAlignment="1" applyProtection="1">
      <alignment vertical="center"/>
      <protection/>
    </xf>
    <xf numFmtId="0" fontId="21" fillId="0" borderId="0" xfId="0" applyFont="1" applyAlignment="1" applyProtection="1">
      <alignment horizontal="right" vertical="center"/>
      <protection/>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pplyProtection="1">
      <alignment horizontal="center" vertical="center"/>
      <protection/>
    </xf>
    <xf numFmtId="0" fontId="23" fillId="0" borderId="0" xfId="0" applyFont="1" applyAlignment="1" applyProtection="1">
      <alignment horizontal="center"/>
      <protection/>
    </xf>
    <xf numFmtId="0" fontId="22" fillId="0" borderId="0" xfId="0" applyFont="1" applyAlignment="1" applyProtection="1">
      <alignment horizontal="center"/>
      <protection/>
    </xf>
    <xf numFmtId="0" fontId="22" fillId="0" borderId="0" xfId="0" applyFont="1" applyAlignment="1">
      <alignment horizontal="center"/>
    </xf>
    <xf numFmtId="0" fontId="23" fillId="0" borderId="0" xfId="0" applyFont="1" applyAlignment="1" applyProtection="1">
      <alignment horizontal="center" vertical="top"/>
      <protection/>
    </xf>
    <xf numFmtId="0" fontId="24" fillId="0" borderId="0" xfId="0" applyFont="1" applyAlignment="1" applyProtection="1" quotePrefix="1">
      <alignment horizontal="center" vertical="top"/>
      <protection/>
    </xf>
    <xf numFmtId="0" fontId="24" fillId="0" borderId="0" xfId="0" applyFont="1" applyAlignment="1" applyProtection="1">
      <alignment horizontal="center" vertical="top"/>
      <protection/>
    </xf>
    <xf numFmtId="0" fontId="22" fillId="0" borderId="0" xfId="0" applyFont="1" applyAlignment="1">
      <alignment horizontal="center" vertical="top"/>
    </xf>
    <xf numFmtId="0" fontId="25" fillId="0" borderId="0" xfId="0" applyFont="1" applyAlignment="1" applyProtection="1" quotePrefix="1">
      <alignment horizontal="left" vertical="center"/>
      <protection/>
    </xf>
    <xf numFmtId="0" fontId="24" fillId="0" borderId="0" xfId="0" applyFont="1" applyAlignment="1" applyProtection="1" quotePrefix="1">
      <alignment horizontal="center" vertical="center"/>
      <protection/>
    </xf>
    <xf numFmtId="0" fontId="24" fillId="0" borderId="0" xfId="0" applyFont="1" applyAlignment="1" applyProtection="1">
      <alignment horizontal="center" vertical="center"/>
      <protection/>
    </xf>
    <xf numFmtId="0" fontId="22" fillId="0" borderId="0" xfId="0" applyFont="1" applyAlignment="1">
      <alignment horizontal="center" vertical="center"/>
    </xf>
    <xf numFmtId="0" fontId="23" fillId="0" borderId="0" xfId="0" applyFont="1" applyAlignment="1" applyProtection="1">
      <alignment horizontal="right" vertical="center"/>
      <protection/>
    </xf>
    <xf numFmtId="40" fontId="23" fillId="0" borderId="0" xfId="0" applyNumberFormat="1" applyFont="1" applyAlignment="1">
      <alignment vertical="center"/>
    </xf>
    <xf numFmtId="40" fontId="23" fillId="0" borderId="0" xfId="0" applyNumberFormat="1" applyFont="1" applyAlignment="1" applyProtection="1">
      <alignment vertical="center"/>
      <protection/>
    </xf>
    <xf numFmtId="40" fontId="23" fillId="0" borderId="0" xfId="43" applyNumberFormat="1" applyFont="1" applyAlignment="1" applyProtection="1">
      <alignment vertical="center"/>
      <protection/>
    </xf>
    <xf numFmtId="0" fontId="25" fillId="0" borderId="0" xfId="0" applyFont="1" applyAlignment="1" applyProtection="1">
      <alignment horizontal="left" vertical="center"/>
      <protection/>
    </xf>
    <xf numFmtId="40" fontId="23" fillId="0" borderId="0" xfId="43" applyNumberFormat="1" applyFont="1" applyAlignment="1" applyProtection="1">
      <alignment horizontal="center" vertical="center"/>
      <protection/>
    </xf>
    <xf numFmtId="0" fontId="23" fillId="0" borderId="0" xfId="0" applyFont="1" applyAlignment="1" applyProtection="1" quotePrefix="1">
      <alignment horizontal="right" vertical="center"/>
      <protection/>
    </xf>
    <xf numFmtId="40" fontId="23" fillId="0" borderId="0" xfId="0" applyNumberFormat="1" applyFont="1" applyFill="1" applyAlignment="1" applyProtection="1">
      <alignment vertical="center"/>
      <protection/>
    </xf>
    <xf numFmtId="40" fontId="23" fillId="0" borderId="14" xfId="0" applyNumberFormat="1" applyFont="1" applyFill="1" applyBorder="1" applyAlignment="1" applyProtection="1">
      <alignment vertical="center"/>
      <protection/>
    </xf>
    <xf numFmtId="40" fontId="23" fillId="0" borderId="14" xfId="0" applyNumberFormat="1" applyFont="1" applyBorder="1" applyAlignment="1">
      <alignment vertical="center"/>
    </xf>
    <xf numFmtId="0" fontId="22" fillId="0" borderId="0" xfId="0" applyFont="1" applyAlignment="1">
      <alignment horizontal="right" vertical="center"/>
    </xf>
    <xf numFmtId="0" fontId="23" fillId="0" borderId="0" xfId="0" applyFont="1" applyAlignment="1" applyProtection="1" quotePrefix="1">
      <alignment horizontal="left" vertical="center"/>
      <protection/>
    </xf>
    <xf numFmtId="0" fontId="23" fillId="0" borderId="0" xfId="0" applyFont="1" applyAlignment="1" applyProtection="1">
      <alignment vertical="center"/>
      <protection/>
    </xf>
    <xf numFmtId="40" fontId="23" fillId="0" borderId="0" xfId="0" applyNumberFormat="1" applyFont="1" applyBorder="1" applyAlignment="1" applyProtection="1">
      <alignment vertical="center"/>
      <protection/>
    </xf>
    <xf numFmtId="40" fontId="23" fillId="0" borderId="14" xfId="0" applyNumberFormat="1" applyFont="1" applyBorder="1" applyAlignment="1" applyProtection="1">
      <alignment vertical="center"/>
      <protection/>
    </xf>
    <xf numFmtId="0" fontId="23" fillId="0" borderId="15" xfId="0" applyFont="1" applyBorder="1" applyAlignment="1" applyProtection="1" quotePrefix="1">
      <alignment horizontal="left" vertical="center"/>
      <protection/>
    </xf>
    <xf numFmtId="0" fontId="23" fillId="0" borderId="16" xfId="0" applyFont="1" applyBorder="1" applyAlignment="1" applyProtection="1">
      <alignment vertical="center"/>
      <protection/>
    </xf>
    <xf numFmtId="0" fontId="23" fillId="0" borderId="17" xfId="0" applyFont="1" applyBorder="1" applyAlignment="1" applyProtection="1">
      <alignment vertical="center"/>
      <protection/>
    </xf>
    <xf numFmtId="0" fontId="26" fillId="0" borderId="0" xfId="0" applyFont="1" applyAlignment="1" applyProtection="1">
      <alignment horizontal="right" vertical="center"/>
      <protection/>
    </xf>
    <xf numFmtId="40" fontId="27" fillId="0" borderId="0" xfId="0" applyNumberFormat="1" applyFont="1" applyAlignment="1" applyProtection="1">
      <alignment vertical="center"/>
      <protection/>
    </xf>
    <xf numFmtId="0" fontId="23" fillId="0" borderId="0" xfId="0" applyFont="1" applyBorder="1" applyAlignment="1" applyProtection="1">
      <alignment horizontal="right" vertical="center"/>
      <protection/>
    </xf>
    <xf numFmtId="0" fontId="22" fillId="0" borderId="0" xfId="0" applyFont="1" applyAlignment="1" applyProtection="1">
      <alignment horizontal="right" vertical="center"/>
      <protection/>
    </xf>
    <xf numFmtId="0" fontId="23" fillId="0" borderId="18" xfId="0" applyFont="1" applyBorder="1" applyAlignment="1" applyProtection="1" quotePrefix="1">
      <alignment horizontal="left" vertical="center"/>
      <protection/>
    </xf>
    <xf numFmtId="0" fontId="23" fillId="0" borderId="0" xfId="0" applyFont="1" applyBorder="1" applyAlignment="1" applyProtection="1">
      <alignment vertical="center"/>
      <protection/>
    </xf>
    <xf numFmtId="0" fontId="22" fillId="0" borderId="19" xfId="0" applyFont="1" applyBorder="1" applyAlignment="1" applyProtection="1">
      <alignment horizontal="center" vertical="center"/>
      <protection/>
    </xf>
    <xf numFmtId="0" fontId="24" fillId="0" borderId="0" xfId="0" applyFont="1" applyAlignment="1" applyProtection="1">
      <alignment vertical="center"/>
      <protection/>
    </xf>
    <xf numFmtId="0" fontId="23" fillId="0" borderId="20" xfId="0" applyFont="1" applyBorder="1" applyAlignment="1" applyProtection="1" quotePrefix="1">
      <alignment horizontal="left" vertical="center"/>
      <protection/>
    </xf>
    <xf numFmtId="0" fontId="23" fillId="0" borderId="21" xfId="0" applyFont="1" applyBorder="1" applyAlignment="1" applyProtection="1">
      <alignment vertical="center"/>
      <protection/>
    </xf>
    <xf numFmtId="0" fontId="23" fillId="0" borderId="22" xfId="0" applyFont="1" applyBorder="1" applyAlignment="1" applyProtection="1">
      <alignment vertical="center"/>
      <protection/>
    </xf>
    <xf numFmtId="0" fontId="23" fillId="0" borderId="0" xfId="0" applyFont="1" applyAlignment="1">
      <alignment vertical="center"/>
    </xf>
    <xf numFmtId="0" fontId="22" fillId="0" borderId="0" xfId="0" applyFont="1" applyAlignment="1" applyProtection="1">
      <alignment horizontal="right"/>
      <protection/>
    </xf>
    <xf numFmtId="0" fontId="24" fillId="0" borderId="0" xfId="0" applyFont="1" applyAlignment="1" applyProtection="1">
      <alignment horizontal="right"/>
      <protection/>
    </xf>
    <xf numFmtId="0" fontId="24" fillId="0" borderId="0" xfId="0" applyFont="1" applyAlignment="1" applyProtection="1" quotePrefix="1">
      <alignment horizontal="right" vertical="center"/>
      <protection/>
    </xf>
    <xf numFmtId="0" fontId="22" fillId="0" borderId="0" xfId="0" applyFont="1" applyAlignment="1" applyProtection="1">
      <alignment horizontal="right" vertical="top"/>
      <protection/>
    </xf>
    <xf numFmtId="0" fontId="24" fillId="0" borderId="0" xfId="0" applyFont="1" applyAlignment="1" applyProtection="1" quotePrefix="1">
      <alignment horizontal="right" vertical="top"/>
      <protection/>
    </xf>
    <xf numFmtId="0" fontId="24" fillId="0" borderId="0" xfId="0" applyFont="1" applyAlignment="1" applyProtection="1">
      <alignment horizontal="right" vertical="top"/>
      <protection/>
    </xf>
    <xf numFmtId="0" fontId="25" fillId="0" borderId="0" xfId="0" applyFont="1" applyAlignment="1">
      <alignment vertical="center"/>
    </xf>
    <xf numFmtId="0" fontId="28" fillId="0" borderId="0" xfId="0" applyFont="1" applyAlignment="1" applyProtection="1" quotePrefix="1">
      <alignment vertical="center"/>
      <protection/>
    </xf>
    <xf numFmtId="0" fontId="23" fillId="0" borderId="0" xfId="0" applyFont="1" applyAlignment="1" applyProtection="1">
      <alignment horizontal="left" vertical="center"/>
      <protection/>
    </xf>
    <xf numFmtId="165" fontId="23" fillId="0" borderId="0" xfId="0" applyNumberFormat="1" applyFont="1" applyAlignment="1">
      <alignment vertical="center"/>
    </xf>
    <xf numFmtId="165" fontId="23" fillId="0" borderId="0" xfId="42" applyNumberFormat="1" applyFont="1" applyAlignment="1" applyProtection="1">
      <alignment vertical="center"/>
      <protection/>
    </xf>
    <xf numFmtId="166" fontId="23" fillId="0" borderId="0" xfId="42" applyNumberFormat="1" applyFont="1" applyAlignment="1" applyProtection="1">
      <alignment vertical="center"/>
      <protection/>
    </xf>
    <xf numFmtId="0" fontId="23" fillId="0" borderId="0" xfId="0" applyFont="1" applyAlignment="1">
      <alignment horizontal="right" vertical="center"/>
    </xf>
    <xf numFmtId="166" fontId="23" fillId="0" borderId="0" xfId="0" applyNumberFormat="1" applyFont="1" applyAlignment="1" applyProtection="1">
      <alignment vertical="center"/>
      <protection/>
    </xf>
    <xf numFmtId="0" fontId="25" fillId="0" borderId="0" xfId="0" applyFont="1" applyAlignment="1" applyProtection="1">
      <alignment vertical="center"/>
      <protection/>
    </xf>
    <xf numFmtId="169" fontId="23" fillId="0" borderId="0" xfId="42" applyNumberFormat="1" applyFont="1" applyAlignment="1" applyProtection="1">
      <alignment vertical="center"/>
      <protection/>
    </xf>
    <xf numFmtId="165" fontId="28" fillId="0" borderId="0" xfId="0" applyNumberFormat="1" applyFont="1" applyAlignment="1" applyProtection="1">
      <alignment vertical="center"/>
      <protection/>
    </xf>
    <xf numFmtId="165" fontId="23" fillId="0" borderId="0" xfId="0" applyNumberFormat="1" applyFont="1" applyAlignment="1" applyProtection="1">
      <alignment horizontal="center" vertical="center"/>
      <protection/>
    </xf>
    <xf numFmtId="165" fontId="28" fillId="0" borderId="0" xfId="0" applyNumberFormat="1" applyFont="1" applyAlignment="1" applyProtection="1">
      <alignment horizontal="left" vertical="center" indent="2"/>
      <protection/>
    </xf>
    <xf numFmtId="165" fontId="28" fillId="0" borderId="0" xfId="0" applyNumberFormat="1" applyFont="1" applyAlignment="1" applyProtection="1">
      <alignment horizontal="right" vertical="center"/>
      <protection/>
    </xf>
    <xf numFmtId="0" fontId="28" fillId="0" borderId="0" xfId="0" applyFont="1" applyAlignment="1" applyProtection="1">
      <alignment horizontal="right" vertical="center"/>
      <protection/>
    </xf>
    <xf numFmtId="165" fontId="23" fillId="0" borderId="0" xfId="43" applyNumberFormat="1" applyFont="1" applyFill="1" applyBorder="1" applyAlignment="1" applyProtection="1">
      <alignment vertical="center"/>
      <protection/>
    </xf>
    <xf numFmtId="166" fontId="23" fillId="0" borderId="0" xfId="0" applyNumberFormat="1" applyFont="1" applyAlignment="1">
      <alignment vertical="center"/>
    </xf>
    <xf numFmtId="0" fontId="28" fillId="0" borderId="0" xfId="0" applyFont="1" applyAlignment="1" applyProtection="1">
      <alignment horizontal="left" vertical="center"/>
      <protection/>
    </xf>
    <xf numFmtId="0" fontId="28" fillId="0" borderId="0" xfId="0" applyFont="1" applyAlignment="1" applyProtection="1">
      <alignment horizontal="left" vertical="center" indent="2"/>
      <protection/>
    </xf>
    <xf numFmtId="40" fontId="23" fillId="0" borderId="0" xfId="42" applyNumberFormat="1" applyFont="1" applyFill="1" applyAlignment="1" applyProtection="1">
      <alignment vertical="center"/>
      <protection/>
    </xf>
    <xf numFmtId="170" fontId="23"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38" fontId="23" fillId="0" borderId="0" xfId="42" applyNumberFormat="1" applyFont="1" applyAlignment="1">
      <alignment horizontal="center" vertical="center"/>
    </xf>
    <xf numFmtId="38" fontId="23" fillId="0" borderId="0" xfId="42" applyNumberFormat="1" applyFont="1" applyAlignment="1" applyProtection="1">
      <alignment horizontal="center" vertical="center"/>
      <protection/>
    </xf>
    <xf numFmtId="40" fontId="23" fillId="0" borderId="14" xfId="42" applyNumberFormat="1" applyFont="1" applyFill="1" applyBorder="1" applyAlignment="1" applyProtection="1">
      <alignment vertical="center"/>
      <protection/>
    </xf>
    <xf numFmtId="169" fontId="23" fillId="0" borderId="0" xfId="0" applyNumberFormat="1" applyFont="1" applyAlignment="1" applyProtection="1">
      <alignment vertical="center"/>
      <protection/>
    </xf>
    <xf numFmtId="0" fontId="23" fillId="0" borderId="0" xfId="0" applyFont="1" applyFill="1" applyAlignment="1" applyProtection="1">
      <alignment vertical="center"/>
      <protection/>
    </xf>
    <xf numFmtId="166" fontId="23" fillId="0" borderId="0" xfId="42" applyNumberFormat="1" applyFont="1" applyFill="1" applyBorder="1" applyAlignment="1" applyProtection="1">
      <alignment vertical="center"/>
      <protection locked="0"/>
    </xf>
    <xf numFmtId="40" fontId="23" fillId="0" borderId="0" xfId="42" applyNumberFormat="1" applyFont="1" applyFill="1" applyAlignment="1" applyProtection="1">
      <alignment vertical="center"/>
      <protection locked="0"/>
    </xf>
    <xf numFmtId="164" fontId="23" fillId="0" borderId="0" xfId="0" applyNumberFormat="1" applyFont="1" applyAlignment="1" applyProtection="1">
      <alignment vertical="center"/>
      <protection/>
    </xf>
    <xf numFmtId="171" fontId="23" fillId="0" borderId="0" xfId="0" applyNumberFormat="1" applyFont="1" applyAlignment="1" applyProtection="1">
      <alignment vertical="center"/>
      <protection/>
    </xf>
    <xf numFmtId="166" fontId="23" fillId="0" borderId="0" xfId="42" applyNumberFormat="1" applyFont="1" applyBorder="1" applyAlignment="1" applyProtection="1">
      <alignment vertical="center"/>
      <protection/>
    </xf>
    <xf numFmtId="0" fontId="23" fillId="0" borderId="0" xfId="0" applyFont="1" applyAlignment="1" applyProtection="1">
      <alignment horizontal="center" vertical="center"/>
      <protection/>
    </xf>
    <xf numFmtId="0" fontId="29" fillId="0" borderId="0" xfId="0" applyFont="1" applyAlignment="1" applyProtection="1">
      <alignment horizontal="right" vertical="center"/>
      <protection/>
    </xf>
    <xf numFmtId="166" fontId="23" fillId="0" borderId="0" xfId="0" applyNumberFormat="1" applyFont="1" applyBorder="1" applyAlignment="1" applyProtection="1">
      <alignment vertical="center"/>
      <protection/>
    </xf>
    <xf numFmtId="0" fontId="25" fillId="0" borderId="0" xfId="0" applyFont="1" applyAlignment="1" applyProtection="1">
      <alignment horizontal="right" vertical="center"/>
      <protection/>
    </xf>
    <xf numFmtId="8" fontId="23" fillId="0" borderId="0" xfId="44" applyFont="1" applyAlignment="1" applyProtection="1">
      <alignment vertical="center"/>
      <protection/>
    </xf>
    <xf numFmtId="0" fontId="23" fillId="0" borderId="0" xfId="0" applyFont="1" applyAlignment="1">
      <alignment horizontal="center" vertical="center"/>
    </xf>
    <xf numFmtId="8" fontId="23" fillId="0" borderId="0" xfId="44" applyFont="1" applyFill="1" applyBorder="1" applyAlignment="1" applyProtection="1">
      <alignment vertical="center"/>
      <protection locked="0"/>
    </xf>
    <xf numFmtId="0" fontId="22" fillId="0" borderId="0" xfId="0" applyFont="1" applyAlignment="1" applyProtection="1">
      <alignment vertical="center"/>
      <protection/>
    </xf>
    <xf numFmtId="0" fontId="28" fillId="0" borderId="0" xfId="0" applyFont="1" applyBorder="1" applyAlignment="1" applyProtection="1">
      <alignment horizontal="right" vertical="center"/>
      <protection/>
    </xf>
    <xf numFmtId="169" fontId="23" fillId="0" borderId="0" xfId="0" applyNumberFormat="1" applyFont="1" applyBorder="1" applyAlignment="1" applyProtection="1">
      <alignment vertical="center"/>
      <protection/>
    </xf>
    <xf numFmtId="166" fontId="23" fillId="0" borderId="14" xfId="0" applyNumberFormat="1" applyFont="1" applyBorder="1" applyAlignment="1" applyProtection="1">
      <alignment vertical="center"/>
      <protection/>
    </xf>
    <xf numFmtId="0" fontId="24" fillId="0" borderId="0" xfId="0" applyFont="1" applyAlignment="1" applyProtection="1">
      <alignment horizontal="right" vertical="center"/>
      <protection/>
    </xf>
    <xf numFmtId="0" fontId="21" fillId="0" borderId="18"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8" fillId="0" borderId="18" xfId="0" applyFont="1" applyBorder="1" applyAlignment="1" applyProtection="1">
      <alignment horizontal="left" vertical="center" indent="2"/>
      <protection/>
    </xf>
    <xf numFmtId="0" fontId="30" fillId="0" borderId="0" xfId="0" applyFont="1" applyBorder="1" applyAlignment="1" applyProtection="1">
      <alignment vertical="center"/>
      <protection/>
    </xf>
    <xf numFmtId="0" fontId="23" fillId="0" borderId="18" xfId="0" applyFont="1" applyBorder="1" applyAlignment="1" applyProtection="1">
      <alignment vertical="center"/>
      <protection/>
    </xf>
    <xf numFmtId="0" fontId="23" fillId="0" borderId="19" xfId="0" applyFont="1" applyBorder="1" applyAlignment="1" applyProtection="1">
      <alignment vertical="center"/>
      <protection/>
    </xf>
    <xf numFmtId="0" fontId="30" fillId="0" borderId="0" xfId="0" applyFont="1" applyBorder="1" applyAlignment="1" applyProtection="1">
      <alignment horizontal="left" vertical="center" indent="3"/>
      <protection/>
    </xf>
    <xf numFmtId="166" fontId="23" fillId="0" borderId="23" xfId="0" applyNumberFormat="1" applyFont="1" applyBorder="1" applyAlignment="1" applyProtection="1">
      <alignment vertical="center"/>
      <protection/>
    </xf>
    <xf numFmtId="8" fontId="23" fillId="0" borderId="0" xfId="44" applyFont="1" applyBorder="1" applyAlignment="1" applyProtection="1">
      <alignment vertical="center"/>
      <protection/>
    </xf>
    <xf numFmtId="166" fontId="23" fillId="0" borderId="19" xfId="42" applyNumberFormat="1" applyFont="1" applyFill="1" applyBorder="1" applyAlignment="1" applyProtection="1">
      <alignment vertical="center"/>
      <protection/>
    </xf>
    <xf numFmtId="0" fontId="25" fillId="0" borderId="0" xfId="0" applyFont="1" applyBorder="1" applyAlignment="1" applyProtection="1">
      <alignment horizontal="left" vertical="center" indent="1"/>
      <protection/>
    </xf>
    <xf numFmtId="40" fontId="23" fillId="0" borderId="19" xfId="42" applyFont="1" applyFill="1" applyBorder="1" applyAlignment="1" applyProtection="1">
      <alignment vertical="center"/>
      <protection locked="0"/>
    </xf>
    <xf numFmtId="0" fontId="31" fillId="0" borderId="0" xfId="0" applyFont="1" applyAlignment="1" applyProtection="1">
      <alignment horizontal="right" vertical="center" indent="2"/>
      <protection/>
    </xf>
    <xf numFmtId="40" fontId="23" fillId="0" borderId="19" xfId="42" applyFont="1" applyFill="1" applyBorder="1" applyAlignment="1" applyProtection="1">
      <alignment vertical="center"/>
      <protection/>
    </xf>
    <xf numFmtId="0" fontId="32" fillId="0" borderId="0" xfId="0" applyFont="1" applyAlignment="1" applyProtection="1">
      <alignment vertical="center"/>
      <protection/>
    </xf>
    <xf numFmtId="0" fontId="33" fillId="0" borderId="18" xfId="0" applyFont="1" applyBorder="1" applyAlignment="1" applyProtection="1">
      <alignment horizontal="left" vertical="center"/>
      <protection/>
    </xf>
    <xf numFmtId="40" fontId="23" fillId="0" borderId="19" xfId="42" applyFont="1" applyBorder="1" applyAlignment="1" applyProtection="1">
      <alignment vertical="center"/>
      <protection/>
    </xf>
    <xf numFmtId="0" fontId="22" fillId="0" borderId="0" xfId="0" applyFont="1" applyAlignment="1" applyProtection="1">
      <alignment horizontal="right" vertical="center" indent="1"/>
      <protection/>
    </xf>
    <xf numFmtId="8" fontId="23" fillId="0" borderId="0" xfId="44" applyNumberFormat="1" applyFont="1" applyAlignment="1" applyProtection="1">
      <alignment vertical="center"/>
      <protection/>
    </xf>
    <xf numFmtId="0" fontId="22" fillId="0" borderId="0" xfId="0" applyFont="1" applyAlignment="1" applyProtection="1">
      <alignment horizontal="left" vertical="center" indent="1"/>
      <protection/>
    </xf>
    <xf numFmtId="0" fontId="23" fillId="0" borderId="0" xfId="0" applyFont="1" applyAlignment="1">
      <alignment horizontal="left" vertical="center" indent="1"/>
    </xf>
    <xf numFmtId="0" fontId="34" fillId="0" borderId="0" xfId="0" applyFont="1" applyAlignment="1" applyProtection="1">
      <alignment horizontal="right" vertical="center"/>
      <protection/>
    </xf>
    <xf numFmtId="166" fontId="23" fillId="0" borderId="0" xfId="42" applyNumberFormat="1" applyFont="1" applyBorder="1" applyAlignment="1" applyProtection="1">
      <alignment horizontal="right" vertical="center"/>
      <protection/>
    </xf>
    <xf numFmtId="0" fontId="22" fillId="0" borderId="18" xfId="0" applyFont="1" applyBorder="1" applyAlignment="1">
      <alignment horizontal="left" vertical="center" indent="1"/>
    </xf>
    <xf numFmtId="0" fontId="23" fillId="0" borderId="18" xfId="0" applyFont="1" applyBorder="1" applyAlignment="1">
      <alignment horizontal="left" vertical="center" indent="2"/>
    </xf>
    <xf numFmtId="166" fontId="23" fillId="0" borderId="19" xfId="0" applyNumberFormat="1" applyFont="1" applyBorder="1" applyAlignment="1" applyProtection="1">
      <alignment vertical="center"/>
      <protection/>
    </xf>
    <xf numFmtId="0" fontId="25" fillId="0" borderId="0" xfId="0" applyFont="1" applyAlignment="1" applyProtection="1">
      <alignment horizontal="left" vertical="center" indent="1"/>
      <protection/>
    </xf>
    <xf numFmtId="0" fontId="28" fillId="0" borderId="18" xfId="0" applyFont="1" applyBorder="1" applyAlignment="1">
      <alignment horizontal="left" vertical="center" indent="2"/>
    </xf>
    <xf numFmtId="0" fontId="23" fillId="0" borderId="0" xfId="0" applyFont="1" applyBorder="1" applyAlignment="1">
      <alignment horizontal="left" vertical="center" indent="2"/>
    </xf>
    <xf numFmtId="0" fontId="23" fillId="0" borderId="19" xfId="0" applyFont="1" applyBorder="1" applyAlignment="1" applyProtection="1">
      <alignment horizontal="left" vertical="center"/>
      <protection/>
    </xf>
    <xf numFmtId="0" fontId="31" fillId="0" borderId="0" xfId="0" applyFont="1" applyAlignment="1" applyProtection="1">
      <alignment horizontal="left" indent="2"/>
      <protection/>
    </xf>
    <xf numFmtId="0" fontId="23" fillId="0" borderId="0" xfId="0" applyFont="1" applyAlignment="1">
      <alignment/>
    </xf>
    <xf numFmtId="8" fontId="23" fillId="0" borderId="0" xfId="44" applyFont="1" applyFill="1" applyBorder="1" applyAlignment="1" applyProtection="1">
      <alignment/>
      <protection/>
    </xf>
    <xf numFmtId="0" fontId="31" fillId="0" borderId="0" xfId="0" applyFont="1" applyAlignment="1" applyProtection="1">
      <alignment horizontal="left" vertical="center" indent="2"/>
      <protection/>
    </xf>
    <xf numFmtId="8" fontId="23" fillId="0" borderId="0" xfId="44" applyFont="1" applyFill="1" applyAlignment="1" applyProtection="1">
      <alignment vertical="center"/>
      <protection locked="0"/>
    </xf>
    <xf numFmtId="0" fontId="28" fillId="0" borderId="18" xfId="0" applyFont="1" applyBorder="1" applyAlignment="1">
      <alignment vertical="center"/>
    </xf>
    <xf numFmtId="4" fontId="23" fillId="0" borderId="19" xfId="0" applyNumberFormat="1" applyFont="1" applyBorder="1" applyAlignment="1" applyProtection="1">
      <alignment horizontal="center" vertical="center"/>
      <protection/>
    </xf>
    <xf numFmtId="0" fontId="23" fillId="0" borderId="20" xfId="0" applyFont="1" applyBorder="1" applyAlignment="1" applyProtection="1">
      <alignment vertical="center"/>
      <protection/>
    </xf>
    <xf numFmtId="0" fontId="23" fillId="0" borderId="0" xfId="0" applyFont="1" applyAlignment="1" applyProtection="1">
      <alignment horizontal="left" vertical="center" indent="1"/>
      <protection/>
    </xf>
    <xf numFmtId="0" fontId="26" fillId="0" borderId="0" xfId="0" applyFont="1" applyBorder="1" applyAlignment="1">
      <alignment horizontal="right" vertical="center"/>
    </xf>
    <xf numFmtId="0" fontId="27" fillId="0" borderId="0" xfId="0" applyFont="1" applyAlignment="1" applyProtection="1">
      <alignment horizontal="right" vertical="center"/>
      <protection/>
    </xf>
    <xf numFmtId="8" fontId="23" fillId="0" borderId="0" xfId="0" applyNumberFormat="1" applyFont="1" applyAlignment="1">
      <alignment vertical="center"/>
    </xf>
    <xf numFmtId="0" fontId="23" fillId="0" borderId="0" xfId="0" applyFont="1" applyFill="1" applyBorder="1" applyAlignment="1" applyProtection="1">
      <alignment vertical="center"/>
      <protection/>
    </xf>
    <xf numFmtId="0" fontId="36" fillId="0" borderId="0" xfId="0" applyFont="1" applyFill="1" applyAlignment="1" applyProtection="1">
      <alignment horizontal="centerContinuous" vertical="center"/>
      <protection locked="0"/>
    </xf>
    <xf numFmtId="0" fontId="27" fillId="0" borderId="0" xfId="0" applyFont="1" applyAlignment="1" applyProtection="1">
      <alignment horizontal="centerContinuous" vertical="center"/>
      <protection/>
    </xf>
    <xf numFmtId="0" fontId="23" fillId="0" borderId="0" xfId="0" applyFont="1" applyAlignment="1" applyProtection="1">
      <alignment horizontal="centerContinuous" vertical="center"/>
      <protection/>
    </xf>
    <xf numFmtId="0" fontId="23" fillId="0" borderId="0" xfId="0" applyFont="1" applyFill="1" applyAlignment="1" applyProtection="1">
      <alignment horizontal="centerContinuous" vertical="center"/>
      <protection/>
    </xf>
    <xf numFmtId="0" fontId="22" fillId="0" borderId="0" xfId="0" applyFont="1" applyAlignment="1" applyProtection="1">
      <alignment horizontal="centerContinuous" vertical="center"/>
      <protection/>
    </xf>
    <xf numFmtId="0" fontId="28" fillId="0" borderId="0" xfId="0" applyFont="1" applyAlignment="1" applyProtection="1">
      <alignment vertical="center"/>
      <protection/>
    </xf>
    <xf numFmtId="166" fontId="23" fillId="0" borderId="0" xfId="42" applyNumberFormat="1" applyFont="1" applyAlignment="1" applyProtection="1">
      <alignment horizontal="center" vertical="center"/>
      <protection/>
    </xf>
    <xf numFmtId="166" fontId="34" fillId="0" borderId="0" xfId="42" applyNumberFormat="1" applyFont="1" applyAlignment="1" applyProtection="1">
      <alignment horizontal="center" vertical="center"/>
      <protection/>
    </xf>
    <xf numFmtId="166" fontId="23" fillId="0" borderId="0" xfId="0" applyNumberFormat="1" applyFont="1" applyAlignment="1" applyProtection="1">
      <alignment horizontal="center" vertical="center"/>
      <protection/>
    </xf>
    <xf numFmtId="0" fontId="28" fillId="0" borderId="0" xfId="0" applyFont="1" applyAlignment="1" applyProtection="1">
      <alignment horizontal="left" vertical="center" indent="1"/>
      <protection/>
    </xf>
    <xf numFmtId="0" fontId="23" fillId="0" borderId="0" xfId="0" applyFont="1" applyFill="1" applyAlignment="1" applyProtection="1">
      <alignment horizontal="left" vertical="center"/>
      <protection/>
    </xf>
    <xf numFmtId="167" fontId="23" fillId="0" borderId="0" xfId="42" applyNumberFormat="1" applyFont="1" applyAlignment="1">
      <alignment horizontal="right" vertical="center"/>
    </xf>
    <xf numFmtId="0" fontId="28" fillId="0" borderId="0" xfId="0" applyFont="1" applyFill="1" applyAlignment="1" applyProtection="1">
      <alignment horizontal="right" vertical="center"/>
      <protection/>
    </xf>
    <xf numFmtId="0" fontId="0" fillId="0" borderId="12" xfId="0" applyBorder="1" applyAlignment="1">
      <alignment horizontal="center" vertical="center"/>
    </xf>
    <xf numFmtId="172" fontId="11" fillId="34" borderId="24" xfId="42" applyNumberFormat="1" applyFont="1" applyFill="1" applyBorder="1" applyAlignment="1" applyProtection="1">
      <alignment vertical="center"/>
      <protection locked="0"/>
    </xf>
    <xf numFmtId="172" fontId="11" fillId="34" borderId="25" xfId="42" applyNumberFormat="1" applyFont="1" applyFill="1" applyBorder="1" applyAlignment="1" applyProtection="1">
      <alignment/>
      <protection locked="0"/>
    </xf>
    <xf numFmtId="168" fontId="10" fillId="33" borderId="26" xfId="57" applyNumberFormat="1" applyFont="1" applyFill="1" applyBorder="1" applyAlignment="1">
      <alignment horizontal="right" vertical="center"/>
    </xf>
    <xf numFmtId="172" fontId="10" fillId="0" borderId="27" xfId="42" applyNumberFormat="1" applyFont="1" applyFill="1" applyBorder="1" applyAlignment="1">
      <alignment horizontal="center" vertical="top"/>
    </xf>
    <xf numFmtId="172" fontId="10" fillId="33" borderId="27" xfId="42" applyNumberFormat="1" applyFont="1" applyFill="1" applyBorder="1" applyAlignment="1">
      <alignment horizontal="center" vertical="top"/>
    </xf>
    <xf numFmtId="172" fontId="10" fillId="0" borderId="27" xfId="42" applyNumberFormat="1" applyFont="1" applyFill="1" applyBorder="1" applyAlignment="1">
      <alignment vertical="center"/>
    </xf>
    <xf numFmtId="172" fontId="10" fillId="33" borderId="27" xfId="42" applyNumberFormat="1" applyFont="1" applyFill="1" applyBorder="1" applyAlignment="1">
      <alignment vertical="center"/>
    </xf>
    <xf numFmtId="172" fontId="11" fillId="34" borderId="27" xfId="42" applyNumberFormat="1" applyFont="1" applyFill="1" applyBorder="1" applyAlignment="1" applyProtection="1">
      <alignment vertical="center"/>
      <protection locked="0"/>
    </xf>
    <xf numFmtId="172" fontId="11" fillId="34" borderId="28" xfId="42" applyNumberFormat="1" applyFont="1" applyFill="1" applyBorder="1" applyAlignment="1" applyProtection="1">
      <alignment vertical="center"/>
      <protection locked="0"/>
    </xf>
    <xf numFmtId="172" fontId="10" fillId="0" borderId="26" xfId="42" applyNumberFormat="1" applyFont="1" applyFill="1" applyBorder="1" applyAlignment="1">
      <alignment vertical="center"/>
    </xf>
    <xf numFmtId="10" fontId="10" fillId="0" borderId="27" xfId="57" applyNumberFormat="1" applyFont="1" applyFill="1" applyBorder="1" applyAlignment="1">
      <alignment vertical="center"/>
    </xf>
    <xf numFmtId="10" fontId="10" fillId="0" borderId="26" xfId="57" applyNumberFormat="1" applyFont="1" applyFill="1" applyBorder="1" applyAlignment="1">
      <alignment vertical="center"/>
    </xf>
    <xf numFmtId="3" fontId="10" fillId="0" borderId="27" xfId="42" applyNumberFormat="1" applyFont="1" applyFill="1" applyBorder="1" applyAlignment="1">
      <alignment vertical="center"/>
    </xf>
    <xf numFmtId="172" fontId="10" fillId="33" borderId="26" xfId="42" applyNumberFormat="1" applyFont="1" applyFill="1" applyBorder="1" applyAlignment="1">
      <alignment vertical="center"/>
    </xf>
    <xf numFmtId="8" fontId="26" fillId="34" borderId="0" xfId="44" applyFont="1" applyFill="1" applyBorder="1" applyAlignment="1" applyProtection="1">
      <alignment vertical="center"/>
      <protection locked="0"/>
    </xf>
    <xf numFmtId="8" fontId="27" fillId="34" borderId="0" xfId="44" applyFont="1" applyFill="1" applyBorder="1" applyAlignment="1" applyProtection="1">
      <alignment vertical="center"/>
      <protection locked="0"/>
    </xf>
    <xf numFmtId="8" fontId="27" fillId="34" borderId="14" xfId="44" applyFont="1" applyFill="1" applyBorder="1" applyAlignment="1" applyProtection="1">
      <alignment vertical="center"/>
      <protection locked="0"/>
    </xf>
    <xf numFmtId="8" fontId="27" fillId="34" borderId="0" xfId="44" applyNumberFormat="1" applyFont="1" applyFill="1" applyAlignment="1" applyProtection="1">
      <alignment vertical="center"/>
      <protection locked="0"/>
    </xf>
    <xf numFmtId="8" fontId="27" fillId="34" borderId="14" xfId="44" applyNumberFormat="1" applyFont="1" applyFill="1" applyBorder="1" applyAlignment="1" applyProtection="1">
      <alignment vertical="center"/>
      <protection locked="0"/>
    </xf>
    <xf numFmtId="40" fontId="27" fillId="34" borderId="19" xfId="42" applyFont="1" applyFill="1" applyBorder="1" applyAlignment="1" applyProtection="1">
      <alignment vertical="center"/>
      <protection locked="0"/>
    </xf>
    <xf numFmtId="166" fontId="27" fillId="34" borderId="19" xfId="42" applyNumberFormat="1" applyFont="1" applyFill="1" applyBorder="1" applyAlignment="1" applyProtection="1">
      <alignment vertical="center"/>
      <protection locked="0"/>
    </xf>
    <xf numFmtId="2" fontId="27" fillId="34" borderId="0" xfId="0" applyNumberFormat="1" applyFont="1" applyFill="1" applyBorder="1" applyAlignment="1" applyProtection="1">
      <alignment vertical="center"/>
      <protection locked="0"/>
    </xf>
    <xf numFmtId="2" fontId="27" fillId="34" borderId="0" xfId="0" applyNumberFormat="1" applyFont="1" applyFill="1" applyAlignment="1" applyProtection="1">
      <alignment vertical="center"/>
      <protection locked="0"/>
    </xf>
    <xf numFmtId="166" fontId="27" fillId="34" borderId="0" xfId="43" applyNumberFormat="1" applyFont="1" applyFill="1" applyBorder="1" applyAlignment="1" applyProtection="1">
      <alignment vertical="center"/>
      <protection locked="0"/>
    </xf>
    <xf numFmtId="2" fontId="27" fillId="34" borderId="0" xfId="0" applyNumberFormat="1" applyFont="1" applyFill="1" applyAlignment="1" applyProtection="1">
      <alignment horizontal="center" vertical="center"/>
      <protection locked="0"/>
    </xf>
    <xf numFmtId="166" fontId="27" fillId="34" borderId="14" xfId="42" applyNumberFormat="1" applyFont="1" applyFill="1" applyBorder="1" applyAlignment="1" applyProtection="1">
      <alignment vertical="center"/>
      <protection locked="0"/>
    </xf>
    <xf numFmtId="40" fontId="27" fillId="34" borderId="0" xfId="42" applyNumberFormat="1" applyFont="1" applyFill="1" applyAlignment="1" applyProtection="1">
      <alignment vertical="center"/>
      <protection locked="0"/>
    </xf>
    <xf numFmtId="40" fontId="27" fillId="34" borderId="14" xfId="42" applyNumberFormat="1" applyFont="1" applyFill="1" applyBorder="1" applyAlignment="1" applyProtection="1">
      <alignment vertical="center"/>
      <protection locked="0"/>
    </xf>
    <xf numFmtId="165" fontId="27" fillId="34" borderId="0" xfId="0" applyNumberFormat="1" applyFont="1" applyFill="1" applyAlignment="1" applyProtection="1">
      <alignment vertical="center"/>
      <protection locked="0"/>
    </xf>
    <xf numFmtId="4" fontId="27" fillId="34" borderId="0" xfId="43" applyNumberFormat="1" applyFont="1" applyFill="1" applyBorder="1" applyAlignment="1" applyProtection="1">
      <alignment vertical="center"/>
      <protection locked="0"/>
    </xf>
    <xf numFmtId="40" fontId="26" fillId="34" borderId="19" xfId="43" applyNumberFormat="1" applyFont="1" applyFill="1" applyBorder="1" applyAlignment="1" applyProtection="1">
      <alignment horizontal="center" vertical="center"/>
      <protection locked="0"/>
    </xf>
    <xf numFmtId="40" fontId="27" fillId="34" borderId="23" xfId="43" applyNumberFormat="1" applyFont="1" applyFill="1" applyBorder="1" applyAlignment="1" applyProtection="1">
      <alignment vertical="center"/>
      <protection locked="0"/>
    </xf>
    <xf numFmtId="40" fontId="27" fillId="34" borderId="0" xfId="43" applyNumberFormat="1" applyFont="1" applyFill="1" applyAlignment="1" applyProtection="1">
      <alignment vertical="center"/>
      <protection locked="0"/>
    </xf>
    <xf numFmtId="40" fontId="27" fillId="34" borderId="14" xfId="43" applyNumberFormat="1" applyFont="1" applyFill="1" applyBorder="1" applyAlignment="1" applyProtection="1">
      <alignment vertical="center"/>
      <protection locked="0"/>
    </xf>
    <xf numFmtId="40" fontId="27" fillId="34" borderId="0" xfId="0" applyNumberFormat="1" applyFont="1" applyFill="1" applyAlignment="1" applyProtection="1">
      <alignment vertical="center"/>
      <protection locked="0"/>
    </xf>
    <xf numFmtId="0" fontId="27" fillId="34" borderId="0" xfId="0" applyFont="1" applyFill="1" applyAlignment="1" applyProtection="1">
      <alignment horizontal="right" vertical="center"/>
      <protection locked="0"/>
    </xf>
    <xf numFmtId="0" fontId="27" fillId="34" borderId="0" xfId="0" applyFont="1" applyFill="1" applyAlignment="1" applyProtection="1">
      <alignment horizontal="center" vertical="center"/>
      <protection locked="0"/>
    </xf>
    <xf numFmtId="49" fontId="27" fillId="34" borderId="0" xfId="0" applyNumberFormat="1" applyFont="1" applyFill="1" applyAlignment="1" applyProtection="1">
      <alignment horizontal="center" vertical="center"/>
      <protection locked="0"/>
    </xf>
    <xf numFmtId="0" fontId="27" fillId="34" borderId="0" xfId="0" applyFont="1" applyFill="1" applyAlignment="1" applyProtection="1" quotePrefix="1">
      <alignment horizontal="center" vertical="center"/>
      <protection locked="0"/>
    </xf>
    <xf numFmtId="40" fontId="27" fillId="34" borderId="0" xfId="42" applyNumberFormat="1" applyFont="1" applyFill="1" applyBorder="1" applyAlignment="1" applyProtection="1">
      <alignment horizontal="center" vertical="center"/>
      <protection locked="0"/>
    </xf>
    <xf numFmtId="40" fontId="27" fillId="34" borderId="0" xfId="42" applyNumberFormat="1" applyFont="1" applyFill="1" applyAlignment="1" applyProtection="1">
      <alignment horizontal="center" vertical="center"/>
      <protection locked="0"/>
    </xf>
    <xf numFmtId="38" fontId="27" fillId="34" borderId="0" xfId="42" applyNumberFormat="1" applyFont="1" applyFill="1" applyBorder="1" applyAlignment="1" applyProtection="1">
      <alignment horizontal="right" vertical="center"/>
      <protection locked="0"/>
    </xf>
    <xf numFmtId="38" fontId="27" fillId="34" borderId="0" xfId="42" applyNumberFormat="1" applyFont="1" applyFill="1" applyBorder="1" applyAlignment="1" applyProtection="1">
      <alignment vertical="center"/>
      <protection locked="0"/>
    </xf>
    <xf numFmtId="1" fontId="26" fillId="34" borderId="14" xfId="0" applyNumberFormat="1" applyFont="1" applyFill="1" applyBorder="1" applyAlignment="1" applyProtection="1">
      <alignment horizontal="center" vertical="center"/>
      <protection locked="0"/>
    </xf>
    <xf numFmtId="4" fontId="23" fillId="0" borderId="0" xfId="0" applyNumberFormat="1" applyFont="1" applyAlignment="1">
      <alignment vertical="center"/>
    </xf>
    <xf numFmtId="40" fontId="27" fillId="34" borderId="0" xfId="42" applyNumberFormat="1" applyFont="1" applyFill="1" applyAlignment="1" applyProtection="1" quotePrefix="1">
      <alignment vertical="center"/>
      <protection locked="0"/>
    </xf>
    <xf numFmtId="0" fontId="27" fillId="34" borderId="0" xfId="0" applyFont="1" applyFill="1" applyAlignment="1" applyProtection="1">
      <alignment horizontal="left" vertical="center"/>
      <protection locked="0"/>
    </xf>
    <xf numFmtId="0" fontId="26" fillId="34" borderId="0" xfId="0" applyFont="1" applyFill="1" applyAlignment="1" applyProtection="1">
      <alignment horizontal="center" vertical="center"/>
      <protection locked="0"/>
    </xf>
    <xf numFmtId="0" fontId="3" fillId="0" borderId="0" xfId="0" applyFont="1" applyAlignment="1" applyProtection="1">
      <alignment horizontal="center"/>
      <protection locked="0"/>
    </xf>
    <xf numFmtId="8" fontId="35" fillId="35" borderId="16"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5" fillId="35" borderId="15" xfId="0" applyFont="1" applyFill="1" applyBorder="1" applyAlignment="1" applyProtection="1">
      <alignment horizontal="left" vertical="center"/>
      <protection/>
    </xf>
    <xf numFmtId="0" fontId="0" fillId="0" borderId="16" xfId="0" applyBorder="1" applyAlignment="1">
      <alignment/>
    </xf>
    <xf numFmtId="0" fontId="0" fillId="0" borderId="20" xfId="0" applyBorder="1" applyAlignment="1">
      <alignment/>
    </xf>
    <xf numFmtId="0" fontId="0" fillId="0" borderId="21" xfId="0" applyBorder="1" applyAlignment="1">
      <alignment/>
    </xf>
    <xf numFmtId="0" fontId="23" fillId="0" borderId="18" xfId="0" applyFont="1" applyBorder="1" applyAlignment="1" applyProtection="1">
      <alignment horizontal="right" vertical="center"/>
      <protection/>
    </xf>
    <xf numFmtId="0" fontId="23" fillId="0" borderId="0" xfId="0" applyFont="1" applyBorder="1" applyAlignment="1" applyProtection="1">
      <alignment horizontal="right" vertical="center"/>
      <protection/>
    </xf>
    <xf numFmtId="0" fontId="21" fillId="0" borderId="15" xfId="0" applyFont="1" applyBorder="1" applyAlignment="1" applyProtection="1">
      <alignment horizontal="center" vertical="center"/>
      <protection/>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4" fillId="0" borderId="0" xfId="0" applyFont="1" applyAlignment="1" applyProtection="1">
      <alignment horizontal="center" vertical="center"/>
      <protection/>
    </xf>
    <xf numFmtId="0" fontId="14" fillId="0" borderId="0" xfId="0" applyNumberFormat="1" applyFont="1" applyAlignment="1">
      <alignment horizontal="center" vertical="center"/>
    </xf>
    <xf numFmtId="0" fontId="15" fillId="0" borderId="0" xfId="0" applyFont="1" applyAlignment="1">
      <alignment horizontal="center" vertical="center"/>
    </xf>
    <xf numFmtId="0" fontId="16" fillId="0" borderId="0" xfId="0" applyNumberFormat="1" applyFont="1" applyAlignment="1">
      <alignment horizontal="left" vertical="center"/>
    </xf>
    <xf numFmtId="0" fontId="0" fillId="0" borderId="0" xfId="0" applyAlignment="1">
      <alignment vertical="center"/>
    </xf>
    <xf numFmtId="0" fontId="17" fillId="0" borderId="0" xfId="0" applyFont="1" applyAlignment="1">
      <alignment horizontal="center" vertical="center" wrapText="1"/>
    </xf>
    <xf numFmtId="0" fontId="37" fillId="0" borderId="0" xfId="0"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Units"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182</xdr:row>
      <xdr:rowOff>0</xdr:rowOff>
    </xdr:from>
    <xdr:to>
      <xdr:col>9</xdr:col>
      <xdr:colOff>0</xdr:colOff>
      <xdr:row>182</xdr:row>
      <xdr:rowOff>0</xdr:rowOff>
    </xdr:to>
    <xdr:sp>
      <xdr:nvSpPr>
        <xdr:cNvPr id="1" name="Text 5"/>
        <xdr:cNvSpPr txBox="1">
          <a:spLocks noChangeArrowheads="1"/>
        </xdr:cNvSpPr>
      </xdr:nvSpPr>
      <xdr:spPr>
        <a:xfrm>
          <a:off x="219075" y="27736800"/>
          <a:ext cx="7581900" cy="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Based on district MEM (Basic 1-12, Special Education C and D, Non-Profit and Operational Fund Childhood FTE) a district is eligible for units as follows:
</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137</xdr:row>
      <xdr:rowOff>9525</xdr:rowOff>
    </xdr:from>
    <xdr:to>
      <xdr:col>0</xdr:col>
      <xdr:colOff>0</xdr:colOff>
      <xdr:row>162</xdr:row>
      <xdr:rowOff>28575</xdr:rowOff>
    </xdr:to>
    <xdr:sp>
      <xdr:nvSpPr>
        <xdr:cNvPr id="2" name="Text 7"/>
        <xdr:cNvSpPr txBox="1">
          <a:spLocks noChangeArrowheads="1"/>
        </xdr:cNvSpPr>
      </xdr:nvSpPr>
      <xdr:spPr>
        <a:xfrm>
          <a:off x="0" y="20888325"/>
          <a:ext cx="0" cy="3829050"/>
        </a:xfrm>
        <a:prstGeom prst="rect">
          <a:avLst/>
        </a:prstGeom>
        <a:noFill/>
        <a:ln w="9525" cmpd="sng">
          <a:solidFill>
            <a:srgbClr val="000000"/>
          </a:solidFill>
          <a:headEnd type="none"/>
          <a:tailEnd type="none"/>
        </a:ln>
      </xdr:spPr>
      <xdr:txBody>
        <a:bodyPr vertOverflow="clip" wrap="square" lIns="45720" tIns="45720" rIns="45720" bIns="45720"/>
        <a:p>
          <a:pPr algn="l">
            <a:defRPr/>
          </a:pPr>
          <a:r>
            <a:rPr lang="en-US" cap="none" sz="800" b="0" i="0" u="none" baseline="0">
              <a:solidFill>
                <a:srgbClr val="000000"/>
              </a:solidFill>
              <a:latin typeface="Arial"/>
              <a:ea typeface="Arial"/>
              <a:cs typeface="Arial"/>
            </a:rPr>
            <a:t>GRADES INCLUDED MUST AGREE WITH THE SCHOOL ORGANIZATION PLAN APPROVED BY THE STATE DEPARTMENT OF EDUCATION AND INCLUDED IN OCTOBER PROJECTIONS FOR THE LEGISLATIVE APPROPRIATION REQUEST PER SBE REG. A.3.1.2. Section 22-8-23 NMSA 1978 states "Separate schools established to provide special programs, including but not limited to vocational and alternative education, shall not be classified as public schools for purposes of generating size adjustment program units."
</a:t>
          </a:r>
        </a:p>
      </xdr:txBody>
    </xdr:sp>
    <xdr:clientData/>
  </xdr:twoCellAnchor>
  <xdr:twoCellAnchor>
    <xdr:from>
      <xdr:col>0</xdr:col>
      <xdr:colOff>0</xdr:colOff>
      <xdr:row>164</xdr:row>
      <xdr:rowOff>0</xdr:rowOff>
    </xdr:from>
    <xdr:to>
      <xdr:col>0</xdr:col>
      <xdr:colOff>0</xdr:colOff>
      <xdr:row>179</xdr:row>
      <xdr:rowOff>0</xdr:rowOff>
    </xdr:to>
    <xdr:sp>
      <xdr:nvSpPr>
        <xdr:cNvPr id="3" name="Text 7"/>
        <xdr:cNvSpPr txBox="1">
          <a:spLocks noChangeArrowheads="1"/>
        </xdr:cNvSpPr>
      </xdr:nvSpPr>
      <xdr:spPr>
        <a:xfrm>
          <a:off x="0" y="24993600"/>
          <a:ext cx="0" cy="2286000"/>
        </a:xfrm>
        <a:prstGeom prst="rect">
          <a:avLst/>
        </a:prstGeom>
        <a:noFill/>
        <a:ln w="9525" cmpd="sng">
          <a:solidFill>
            <a:srgbClr val="000000"/>
          </a:solidFill>
          <a:headEnd type="none"/>
          <a:tailEnd type="none"/>
        </a:ln>
      </xdr:spPr>
      <xdr:txBody>
        <a:bodyPr vertOverflow="clip" wrap="square" lIns="45720" tIns="45720" rIns="45720" bIns="45720"/>
        <a:p>
          <a:pPr algn="l">
            <a:defRPr/>
          </a:pPr>
          <a:r>
            <a:rPr lang="en-US" cap="none" sz="800" b="0" i="0" u="sng" baseline="0">
              <a:solidFill>
                <a:srgbClr val="000000"/>
              </a:solidFill>
              <a:latin typeface="Arial"/>
              <a:ea typeface="Arial"/>
              <a:cs typeface="Arial"/>
            </a:rPr>
            <a:t>SCHOOL SIZE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When calculating elementary, junior high, and senior high school size adjustments, exclude the membership of students receiving C- and D-level services and the full-time equivalent membership of students receiving DD-level services.  (§22-8-23.A NMSA 1978, 1997 Supplement)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19"/>
  <sheetViews>
    <sheetView tabSelected="1" zoomScalePageLayoutView="0" workbookViewId="0" topLeftCell="C1">
      <selection activeCell="E15" sqref="E15"/>
    </sheetView>
  </sheetViews>
  <sheetFormatPr defaultColWidth="9.33203125" defaultRowHeight="12" customHeight="1"/>
  <cols>
    <col min="1" max="1" width="3.83203125" style="12" customWidth="1"/>
    <col min="2" max="2" width="17" style="2" customWidth="1"/>
    <col min="3" max="7" width="16.16015625" style="2" customWidth="1"/>
    <col min="8" max="8" width="16.83203125" style="2" customWidth="1"/>
    <col min="9" max="9" width="18" style="2" customWidth="1"/>
    <col min="10" max="10" width="9.83203125" style="2" bestFit="1" customWidth="1"/>
    <col min="11" max="16384" width="9.33203125" style="2" customWidth="1"/>
  </cols>
  <sheetData>
    <row r="1" spans="1:9" s="21" customFormat="1" ht="12" customHeight="1">
      <c r="A1" s="28"/>
      <c r="B1" s="54" t="str">
        <f>IF($D$25="N","District Name","Charter Name")</f>
        <v>Charter Name</v>
      </c>
      <c r="C1" s="256" t="s">
        <v>187</v>
      </c>
      <c r="D1" s="257"/>
      <c r="E1" s="257"/>
      <c r="F1" s="55"/>
      <c r="G1" s="55"/>
      <c r="H1" s="56" t="str">
        <f>IF($D$25="N","District Number","Charter Number ")</f>
        <v>Charter Number </v>
      </c>
      <c r="I1" s="252" t="s">
        <v>188</v>
      </c>
    </row>
    <row r="2" spans="1:9" ht="12" customHeight="1">
      <c r="A2" s="24"/>
      <c r="B2" s="57"/>
      <c r="C2" s="58"/>
      <c r="D2" s="58"/>
      <c r="E2" s="58"/>
      <c r="F2" s="58"/>
      <c r="G2" s="59"/>
      <c r="H2" s="59"/>
      <c r="I2" s="59"/>
    </row>
    <row r="3" spans="1:13" s="18" customFormat="1" ht="12" customHeight="1">
      <c r="A3" s="25"/>
      <c r="B3" s="60"/>
      <c r="C3" s="61"/>
      <c r="D3" s="61"/>
      <c r="E3" s="61" t="s">
        <v>2</v>
      </c>
      <c r="F3" s="62" t="s">
        <v>3</v>
      </c>
      <c r="G3" s="62"/>
      <c r="H3" s="62"/>
      <c r="I3" s="62" t="s">
        <v>4</v>
      </c>
      <c r="K3" s="19"/>
      <c r="L3" s="19"/>
      <c r="M3" s="19"/>
    </row>
    <row r="4" spans="1:13" s="16" customFormat="1" ht="12" customHeight="1">
      <c r="A4" s="26"/>
      <c r="B4" s="63"/>
      <c r="C4" s="64" t="s">
        <v>5</v>
      </c>
      <c r="D4" s="65" t="s">
        <v>6</v>
      </c>
      <c r="E4" s="65" t="s">
        <v>7</v>
      </c>
      <c r="F4" s="66" t="s">
        <v>8</v>
      </c>
      <c r="G4" s="59"/>
      <c r="H4" s="66" t="s">
        <v>9</v>
      </c>
      <c r="I4" s="66" t="s">
        <v>10</v>
      </c>
      <c r="K4" s="17"/>
      <c r="L4" s="17"/>
      <c r="M4" s="17"/>
    </row>
    <row r="5" spans="2:14" s="4" customFormat="1" ht="12" customHeight="1">
      <c r="B5" s="67" t="s">
        <v>150</v>
      </c>
      <c r="C5" s="68"/>
      <c r="D5" s="69"/>
      <c r="E5" s="69"/>
      <c r="F5" s="70"/>
      <c r="G5" s="62"/>
      <c r="H5" s="70"/>
      <c r="I5" s="70"/>
      <c r="K5" s="1"/>
      <c r="L5" s="1"/>
      <c r="M5" s="1"/>
      <c r="N5" s="18"/>
    </row>
    <row r="6" spans="1:14" ht="12" customHeight="1">
      <c r="A6" s="11"/>
      <c r="B6" s="71" t="s">
        <v>120</v>
      </c>
      <c r="C6" s="235"/>
      <c r="D6" s="235"/>
      <c r="E6" s="235"/>
      <c r="F6" s="235"/>
      <c r="G6" s="59"/>
      <c r="H6" s="254" t="s">
        <v>168</v>
      </c>
      <c r="I6" s="72">
        <f>SUM(C6:H6)</f>
        <v>0</v>
      </c>
      <c r="K6" s="1"/>
      <c r="L6" s="1"/>
      <c r="M6" s="1"/>
      <c r="N6" s="16"/>
    </row>
    <row r="7" spans="1:14" ht="12" customHeight="1">
      <c r="A7" s="11"/>
      <c r="B7" s="71" t="s">
        <v>71</v>
      </c>
      <c r="C7" s="73"/>
      <c r="D7" s="74"/>
      <c r="E7" s="241"/>
      <c r="F7" s="243"/>
      <c r="G7" s="59"/>
      <c r="H7" s="243"/>
      <c r="I7" s="72">
        <f>SUM(C7:H7)</f>
        <v>0</v>
      </c>
      <c r="K7" s="1"/>
      <c r="L7" s="1"/>
      <c r="M7" s="1"/>
      <c r="N7" s="16"/>
    </row>
    <row r="8" spans="2:13" ht="12" customHeight="1">
      <c r="B8" s="75" t="s">
        <v>151</v>
      </c>
      <c r="C8" s="73"/>
      <c r="D8" s="72"/>
      <c r="E8" s="76"/>
      <c r="F8" s="72"/>
      <c r="G8" s="62"/>
      <c r="H8" s="72"/>
      <c r="I8" s="72"/>
      <c r="K8" s="1"/>
      <c r="L8" s="1"/>
      <c r="M8" s="1"/>
    </row>
    <row r="9" spans="2:13" ht="12" customHeight="1">
      <c r="B9" s="77" t="s">
        <v>11</v>
      </c>
      <c r="C9" s="78"/>
      <c r="D9" s="72"/>
      <c r="E9" s="241"/>
      <c r="F9" s="241"/>
      <c r="G9" s="59"/>
      <c r="H9" s="241"/>
      <c r="I9" s="72">
        <f aca="true" t="shared" si="0" ref="I9:I19">SUM(E9:H9)</f>
        <v>0</v>
      </c>
      <c r="K9" s="1"/>
      <c r="L9" s="1"/>
      <c r="M9" s="1"/>
    </row>
    <row r="10" spans="2:13" ht="12" customHeight="1">
      <c r="B10" s="77" t="s">
        <v>12</v>
      </c>
      <c r="C10" s="78"/>
      <c r="D10" s="72"/>
      <c r="E10" s="241"/>
      <c r="F10" s="241"/>
      <c r="G10" s="62"/>
      <c r="H10" s="241"/>
      <c r="I10" s="72">
        <f t="shared" si="0"/>
        <v>0</v>
      </c>
      <c r="K10" s="6"/>
      <c r="M10" s="7"/>
    </row>
    <row r="11" spans="2:13" ht="12" customHeight="1">
      <c r="B11" s="77" t="s">
        <v>13</v>
      </c>
      <c r="C11" s="78"/>
      <c r="D11" s="72"/>
      <c r="E11" s="241"/>
      <c r="F11" s="241"/>
      <c r="G11" s="59"/>
      <c r="H11" s="241"/>
      <c r="I11" s="72">
        <f t="shared" si="0"/>
        <v>0</v>
      </c>
      <c r="K11" s="6"/>
      <c r="M11" s="7"/>
    </row>
    <row r="12" spans="2:13" ht="12" customHeight="1">
      <c r="B12" s="77" t="s">
        <v>14</v>
      </c>
      <c r="C12" s="78"/>
      <c r="D12" s="72"/>
      <c r="E12" s="241"/>
      <c r="F12" s="241"/>
      <c r="G12" s="62"/>
      <c r="H12" s="241"/>
      <c r="I12" s="72">
        <f t="shared" si="0"/>
        <v>0</v>
      </c>
      <c r="K12" s="6"/>
      <c r="M12" s="7"/>
    </row>
    <row r="13" spans="2:13" ht="12" customHeight="1">
      <c r="B13" s="77" t="s">
        <v>15</v>
      </c>
      <c r="C13" s="78"/>
      <c r="D13" s="72"/>
      <c r="E13" s="241"/>
      <c r="F13" s="241"/>
      <c r="G13" s="59"/>
      <c r="H13" s="241"/>
      <c r="I13" s="72">
        <f t="shared" si="0"/>
        <v>0</v>
      </c>
      <c r="K13" s="6"/>
      <c r="M13" s="7"/>
    </row>
    <row r="14" spans="2:13" ht="12" customHeight="1">
      <c r="B14" s="77" t="s">
        <v>16</v>
      </c>
      <c r="C14" s="78"/>
      <c r="D14" s="72"/>
      <c r="E14" s="241"/>
      <c r="F14" s="241"/>
      <c r="G14" s="62"/>
      <c r="H14" s="241"/>
      <c r="I14" s="72">
        <f t="shared" si="0"/>
        <v>0</v>
      </c>
      <c r="K14" s="6"/>
      <c r="M14" s="7"/>
    </row>
    <row r="15" spans="2:13" ht="12" customHeight="1">
      <c r="B15" s="77" t="s">
        <v>17</v>
      </c>
      <c r="C15" s="78"/>
      <c r="D15" s="72"/>
      <c r="E15" s="241"/>
      <c r="F15" s="241">
        <v>0.5</v>
      </c>
      <c r="G15" s="59"/>
      <c r="H15" s="241">
        <v>10</v>
      </c>
      <c r="I15" s="72">
        <f t="shared" si="0"/>
        <v>10.5</v>
      </c>
      <c r="K15" s="6"/>
      <c r="M15" s="7"/>
    </row>
    <row r="16" spans="2:13" ht="12" customHeight="1">
      <c r="B16" s="77" t="s">
        <v>18</v>
      </c>
      <c r="C16" s="78"/>
      <c r="D16" s="72"/>
      <c r="E16" s="241"/>
      <c r="F16" s="241"/>
      <c r="G16" s="62"/>
      <c r="H16" s="241">
        <v>21.5</v>
      </c>
      <c r="I16" s="72">
        <f t="shared" si="0"/>
        <v>21.5</v>
      </c>
      <c r="K16" s="6"/>
      <c r="M16" s="7"/>
    </row>
    <row r="17" spans="2:13" ht="12" customHeight="1">
      <c r="B17" s="77" t="s">
        <v>19</v>
      </c>
      <c r="C17" s="78"/>
      <c r="D17" s="72"/>
      <c r="E17" s="241"/>
      <c r="F17" s="241"/>
      <c r="G17" s="59"/>
      <c r="H17" s="241">
        <v>19.5</v>
      </c>
      <c r="I17" s="72">
        <f t="shared" si="0"/>
        <v>19.5</v>
      </c>
      <c r="K17" s="6"/>
      <c r="M17" s="7"/>
    </row>
    <row r="18" spans="2:13" ht="12" customHeight="1">
      <c r="B18" s="77" t="s">
        <v>20</v>
      </c>
      <c r="C18" s="78"/>
      <c r="D18" s="72"/>
      <c r="E18" s="241"/>
      <c r="F18" s="241"/>
      <c r="G18" s="62"/>
      <c r="H18" s="241">
        <v>9.5</v>
      </c>
      <c r="I18" s="72">
        <f t="shared" si="0"/>
        <v>9.5</v>
      </c>
      <c r="K18" s="6"/>
      <c r="M18" s="7"/>
    </row>
    <row r="19" spans="2:13" ht="12" customHeight="1">
      <c r="B19" s="77" t="s">
        <v>21</v>
      </c>
      <c r="C19" s="78"/>
      <c r="D19" s="72"/>
      <c r="E19" s="241"/>
      <c r="F19" s="241"/>
      <c r="G19" s="59"/>
      <c r="H19" s="241">
        <v>3</v>
      </c>
      <c r="I19" s="72">
        <f t="shared" si="0"/>
        <v>3</v>
      </c>
      <c r="K19" s="6"/>
      <c r="M19" s="7"/>
    </row>
    <row r="20" spans="2:13" ht="12" customHeight="1">
      <c r="B20" s="77" t="s">
        <v>22</v>
      </c>
      <c r="C20" s="79"/>
      <c r="D20" s="80"/>
      <c r="E20" s="242"/>
      <c r="F20" s="242"/>
      <c r="G20" s="62"/>
      <c r="H20" s="242">
        <v>3.5</v>
      </c>
      <c r="I20" s="72">
        <f>SUM(E20:H20)</f>
        <v>3.5</v>
      </c>
      <c r="K20" s="6"/>
      <c r="M20" s="7"/>
    </row>
    <row r="21" spans="2:9" ht="12" customHeight="1">
      <c r="B21" s="81" t="s">
        <v>67</v>
      </c>
      <c r="C21" s="72">
        <f>SUM(C6:C20)</f>
        <v>0</v>
      </c>
      <c r="D21" s="72">
        <f>SUM(D6:D20)</f>
        <v>0</v>
      </c>
      <c r="E21" s="72">
        <f>SUM(E6:E20)</f>
        <v>0</v>
      </c>
      <c r="F21" s="72">
        <f>ROUND(SUM(F6:F20),2)</f>
        <v>0.5</v>
      </c>
      <c r="G21" s="59"/>
      <c r="H21" s="72">
        <f>SUM(H6:H20)</f>
        <v>67</v>
      </c>
      <c r="I21" s="72"/>
    </row>
    <row r="22" spans="1:13" ht="12" customHeight="1">
      <c r="A22" s="13"/>
      <c r="B22" s="82" t="s">
        <v>24</v>
      </c>
      <c r="C22" s="83"/>
      <c r="D22" s="83"/>
      <c r="E22" s="83"/>
      <c r="F22" s="83"/>
      <c r="G22" s="83"/>
      <c r="H22" s="71" t="s">
        <v>23</v>
      </c>
      <c r="I22" s="84">
        <f>ROUND(((I6)/2)+I7,2)</f>
        <v>0</v>
      </c>
      <c r="K22" s="6"/>
      <c r="M22" s="7"/>
    </row>
    <row r="23" spans="1:13" ht="12" customHeight="1" thickBot="1">
      <c r="A23" s="13"/>
      <c r="B23" s="82"/>
      <c r="C23" s="83"/>
      <c r="D23" s="83"/>
      <c r="E23" s="83"/>
      <c r="F23" s="83"/>
      <c r="G23" s="83"/>
      <c r="H23" s="71" t="s">
        <v>25</v>
      </c>
      <c r="I23" s="85">
        <f>SUM(I9:I20)</f>
        <v>67.5</v>
      </c>
      <c r="K23" s="6"/>
      <c r="M23" s="7"/>
    </row>
    <row r="24" spans="2:13" ht="12" customHeight="1">
      <c r="B24" s="86"/>
      <c r="C24" s="87"/>
      <c r="D24" s="88"/>
      <c r="E24" s="83"/>
      <c r="F24" s="83"/>
      <c r="G24" s="83"/>
      <c r="H24" s="89" t="s">
        <v>68</v>
      </c>
      <c r="I24" s="73">
        <f>ROUND(SUM(I22:I23),2)</f>
        <v>67.5</v>
      </c>
      <c r="K24" s="6"/>
      <c r="M24" s="7"/>
    </row>
    <row r="25" spans="2:9" ht="12" customHeight="1" thickBot="1">
      <c r="B25" s="266" t="s">
        <v>91</v>
      </c>
      <c r="C25" s="267"/>
      <c r="D25" s="239" t="s">
        <v>189</v>
      </c>
      <c r="E25" s="83"/>
      <c r="F25" s="83"/>
      <c r="G25" s="83"/>
      <c r="H25" s="92" t="str">
        <f>IF(D25="N","Charter School Mem (for District size calculations)"," ")</f>
        <v> </v>
      </c>
      <c r="I25" s="240"/>
    </row>
    <row r="26" spans="1:13" ht="12" customHeight="1" thickTop="1">
      <c r="A26" s="20"/>
      <c r="B26" s="93"/>
      <c r="C26" s="94"/>
      <c r="D26" s="95"/>
      <c r="E26" s="96"/>
      <c r="F26" s="83"/>
      <c r="G26" s="83"/>
      <c r="H26" s="89" t="s">
        <v>26</v>
      </c>
      <c r="I26" s="73">
        <f>SUM(I24:I25)</f>
        <v>67.5</v>
      </c>
      <c r="K26" s="6"/>
      <c r="M26" s="7"/>
    </row>
    <row r="27" spans="1:13" ht="12" customHeight="1">
      <c r="A27" s="20"/>
      <c r="B27" s="266" t="s">
        <v>92</v>
      </c>
      <c r="C27" s="267"/>
      <c r="D27" s="239" t="s">
        <v>82</v>
      </c>
      <c r="E27" s="96"/>
      <c r="F27" s="83"/>
      <c r="G27" s="83"/>
      <c r="H27" s="89"/>
      <c r="I27" s="90"/>
      <c r="K27" s="6"/>
      <c r="M27" s="7"/>
    </row>
    <row r="28" spans="1:13" ht="12" customHeight="1" thickBot="1">
      <c r="A28" s="20"/>
      <c r="B28" s="97"/>
      <c r="C28" s="98"/>
      <c r="D28" s="99"/>
      <c r="E28" s="96"/>
      <c r="F28" s="83"/>
      <c r="G28" s="83"/>
      <c r="H28" s="89"/>
      <c r="I28" s="90"/>
      <c r="K28" s="6"/>
      <c r="M28" s="7"/>
    </row>
    <row r="29" spans="1:13" ht="12" customHeight="1">
      <c r="A29" s="20"/>
      <c r="B29" s="82"/>
      <c r="C29" s="83"/>
      <c r="D29" s="83"/>
      <c r="E29" s="96"/>
      <c r="F29" s="83"/>
      <c r="G29" s="83"/>
      <c r="H29" s="89"/>
      <c r="I29" s="90"/>
      <c r="K29" s="6"/>
      <c r="M29" s="7"/>
    </row>
    <row r="30" spans="1:13" ht="12" customHeight="1">
      <c r="A30" s="13"/>
      <c r="B30" s="100"/>
      <c r="C30" s="83"/>
      <c r="D30" s="101" t="s">
        <v>27</v>
      </c>
      <c r="E30" s="102" t="s">
        <v>28</v>
      </c>
      <c r="F30" s="102" t="s">
        <v>29</v>
      </c>
      <c r="G30" s="83"/>
      <c r="H30" s="100"/>
      <c r="I30" s="103"/>
      <c r="K30" s="6"/>
      <c r="M30" s="7"/>
    </row>
    <row r="31" spans="1:9" ht="12" customHeight="1">
      <c r="A31" s="13"/>
      <c r="B31" s="100"/>
      <c r="C31" s="83"/>
      <c r="D31" s="104" t="s">
        <v>31</v>
      </c>
      <c r="E31" s="105" t="s">
        <v>32</v>
      </c>
      <c r="F31" s="106" t="s">
        <v>33</v>
      </c>
      <c r="G31" s="83"/>
      <c r="H31" s="100"/>
      <c r="I31" s="103"/>
    </row>
    <row r="32" spans="2:9" ht="12" customHeight="1">
      <c r="B32" s="107" t="s">
        <v>72</v>
      </c>
      <c r="C32" s="83"/>
      <c r="D32" s="100"/>
      <c r="E32" s="108"/>
      <c r="F32" s="100"/>
      <c r="G32" s="83"/>
      <c r="H32" s="100"/>
      <c r="I32" s="83"/>
    </row>
    <row r="33" spans="2:9" ht="12" customHeight="1">
      <c r="B33" s="109" t="s">
        <v>99</v>
      </c>
      <c r="C33" s="83"/>
      <c r="D33" s="253">
        <f>I22</f>
        <v>0</v>
      </c>
      <c r="E33" s="111">
        <v>1.44</v>
      </c>
      <c r="F33" s="112">
        <f>ROUND(D33*E33,3)</f>
        <v>0</v>
      </c>
      <c r="G33" s="83"/>
      <c r="H33" s="113" t="s">
        <v>74</v>
      </c>
      <c r="I33" s="114">
        <f>ROUND(F33,3)</f>
        <v>0</v>
      </c>
    </row>
    <row r="34" spans="1:9" ht="12" customHeight="1">
      <c r="A34" s="11"/>
      <c r="B34" s="83"/>
      <c r="C34" s="83"/>
      <c r="D34" s="253"/>
      <c r="E34" s="111"/>
      <c r="F34" s="111"/>
      <c r="G34" s="83"/>
      <c r="H34" s="100"/>
      <c r="I34" s="114"/>
    </row>
    <row r="35" spans="2:9" ht="12" customHeight="1">
      <c r="B35" s="115" t="s">
        <v>152</v>
      </c>
      <c r="C35" s="83"/>
      <c r="D35" s="253"/>
      <c r="E35" s="111"/>
      <c r="F35" s="111"/>
      <c r="G35" s="83"/>
      <c r="H35" s="83"/>
      <c r="I35" s="83"/>
    </row>
    <row r="36" spans="2:9" ht="12" customHeight="1">
      <c r="B36" s="77" t="s">
        <v>104</v>
      </c>
      <c r="C36" s="83"/>
      <c r="D36" s="253">
        <f>I9</f>
        <v>0</v>
      </c>
      <c r="E36" s="111">
        <v>1.2</v>
      </c>
      <c r="F36" s="112">
        <f aca="true" t="shared" si="1" ref="F36:F47">ROUND(D36*E36,3)</f>
        <v>0</v>
      </c>
      <c r="G36" s="83"/>
      <c r="H36" s="83"/>
      <c r="I36" s="83"/>
    </row>
    <row r="37" spans="2:9" ht="12" customHeight="1">
      <c r="B37" s="77" t="s">
        <v>105</v>
      </c>
      <c r="C37" s="83"/>
      <c r="D37" s="253">
        <f aca="true" t="shared" si="2" ref="D37:D47">I10</f>
        <v>0</v>
      </c>
      <c r="E37" s="111">
        <v>1.18</v>
      </c>
      <c r="F37" s="112">
        <f t="shared" si="1"/>
        <v>0</v>
      </c>
      <c r="G37" s="83"/>
      <c r="H37" s="83"/>
      <c r="I37" s="83"/>
    </row>
    <row r="38" spans="2:9" ht="12" customHeight="1">
      <c r="B38" s="77" t="s">
        <v>106</v>
      </c>
      <c r="C38" s="83"/>
      <c r="D38" s="253">
        <f t="shared" si="2"/>
        <v>0</v>
      </c>
      <c r="E38" s="111">
        <v>1.18</v>
      </c>
      <c r="F38" s="112">
        <f t="shared" si="1"/>
        <v>0</v>
      </c>
      <c r="G38" s="83"/>
      <c r="H38" s="83"/>
      <c r="I38" s="83"/>
    </row>
    <row r="39" spans="2:9" ht="12" customHeight="1">
      <c r="B39" s="77" t="s">
        <v>107</v>
      </c>
      <c r="C39" s="83"/>
      <c r="D39" s="253">
        <f t="shared" si="2"/>
        <v>0</v>
      </c>
      <c r="E39" s="116">
        <v>1.045</v>
      </c>
      <c r="F39" s="112">
        <f t="shared" si="1"/>
        <v>0</v>
      </c>
      <c r="G39" s="83"/>
      <c r="H39" s="83"/>
      <c r="I39" s="83"/>
    </row>
    <row r="40" spans="2:9" ht="12" customHeight="1">
      <c r="B40" s="77" t="s">
        <v>108</v>
      </c>
      <c r="C40" s="83"/>
      <c r="D40" s="253">
        <f t="shared" si="2"/>
        <v>0</v>
      </c>
      <c r="E40" s="116">
        <v>1.045</v>
      </c>
      <c r="F40" s="112">
        <f t="shared" si="1"/>
        <v>0</v>
      </c>
      <c r="G40" s="83"/>
      <c r="H40" s="83"/>
      <c r="I40" s="83" t="s">
        <v>0</v>
      </c>
    </row>
    <row r="41" spans="2:9" ht="12" customHeight="1">
      <c r="B41" s="77" t="s">
        <v>109</v>
      </c>
      <c r="C41" s="83"/>
      <c r="D41" s="253">
        <f t="shared" si="2"/>
        <v>0</v>
      </c>
      <c r="E41" s="116">
        <v>1.045</v>
      </c>
      <c r="F41" s="112">
        <f t="shared" si="1"/>
        <v>0</v>
      </c>
      <c r="G41" s="83"/>
      <c r="H41" s="83"/>
      <c r="I41" s="83"/>
    </row>
    <row r="42" spans="2:9" ht="12" customHeight="1">
      <c r="B42" s="77" t="s">
        <v>110</v>
      </c>
      <c r="C42" s="83" t="s">
        <v>100</v>
      </c>
      <c r="D42" s="253">
        <f t="shared" si="2"/>
        <v>10.5</v>
      </c>
      <c r="E42" s="111">
        <v>1.25</v>
      </c>
      <c r="F42" s="112">
        <f t="shared" si="1"/>
        <v>13.125</v>
      </c>
      <c r="G42" s="83"/>
      <c r="H42" s="83"/>
      <c r="I42" s="83"/>
    </row>
    <row r="43" spans="2:9" ht="12" customHeight="1">
      <c r="B43" s="77" t="s">
        <v>111</v>
      </c>
      <c r="C43" s="83" t="s">
        <v>100</v>
      </c>
      <c r="D43" s="253">
        <f t="shared" si="2"/>
        <v>21.5</v>
      </c>
      <c r="E43" s="111">
        <v>1.25</v>
      </c>
      <c r="F43" s="112">
        <f t="shared" si="1"/>
        <v>26.875</v>
      </c>
      <c r="G43" s="83"/>
      <c r="H43" s="83"/>
      <c r="I43" s="83"/>
    </row>
    <row r="44" spans="2:9" ht="12" customHeight="1">
      <c r="B44" s="77" t="s">
        <v>112</v>
      </c>
      <c r="C44" s="83" t="s">
        <v>100</v>
      </c>
      <c r="D44" s="253">
        <f t="shared" si="2"/>
        <v>19.5</v>
      </c>
      <c r="E44" s="111">
        <v>1.25</v>
      </c>
      <c r="F44" s="112">
        <f t="shared" si="1"/>
        <v>24.375</v>
      </c>
      <c r="G44" s="83"/>
      <c r="H44" s="83"/>
      <c r="I44" s="83"/>
    </row>
    <row r="45" spans="2:9" ht="12" customHeight="1">
      <c r="B45" s="77" t="s">
        <v>101</v>
      </c>
      <c r="C45" s="83" t="s">
        <v>100</v>
      </c>
      <c r="D45" s="253">
        <f t="shared" si="2"/>
        <v>9.5</v>
      </c>
      <c r="E45" s="111">
        <v>1.25</v>
      </c>
      <c r="F45" s="112">
        <f t="shared" si="1"/>
        <v>11.875</v>
      </c>
      <c r="G45" s="83"/>
      <c r="H45" s="83"/>
      <c r="I45" s="83"/>
    </row>
    <row r="46" spans="2:9" ht="12" customHeight="1">
      <c r="B46" s="77" t="s">
        <v>102</v>
      </c>
      <c r="C46" s="83" t="s">
        <v>100</v>
      </c>
      <c r="D46" s="253">
        <f t="shared" si="2"/>
        <v>3</v>
      </c>
      <c r="E46" s="111">
        <v>1.25</v>
      </c>
      <c r="F46" s="112">
        <f t="shared" si="1"/>
        <v>3.75</v>
      </c>
      <c r="G46" s="83"/>
      <c r="H46" s="83"/>
      <c r="I46" s="83"/>
    </row>
    <row r="47" spans="2:9" ht="12" customHeight="1">
      <c r="B47" s="77" t="s">
        <v>103</v>
      </c>
      <c r="C47" s="83" t="s">
        <v>100</v>
      </c>
      <c r="D47" s="253">
        <f t="shared" si="2"/>
        <v>3.5</v>
      </c>
      <c r="E47" s="111">
        <v>1.25</v>
      </c>
      <c r="F47" s="112">
        <f t="shared" si="1"/>
        <v>4.375</v>
      </c>
      <c r="G47" s="83"/>
      <c r="H47" s="100"/>
      <c r="I47" s="83"/>
    </row>
    <row r="48" spans="2:9" ht="12" customHeight="1">
      <c r="B48" s="82"/>
      <c r="C48" s="117" t="s">
        <v>113</v>
      </c>
      <c r="D48" s="83"/>
      <c r="E48" s="83"/>
      <c r="F48" s="83"/>
      <c r="G48" s="83"/>
      <c r="H48" s="83"/>
      <c r="I48" s="83"/>
    </row>
    <row r="49" spans="2:9" ht="12" customHeight="1">
      <c r="B49" s="82"/>
      <c r="C49" s="83"/>
      <c r="D49" s="118"/>
      <c r="E49" s="118"/>
      <c r="F49" s="119"/>
      <c r="G49" s="83"/>
      <c r="H49" s="113" t="s">
        <v>73</v>
      </c>
      <c r="I49" s="114">
        <f>SUM(F36:F47)</f>
        <v>84.375</v>
      </c>
    </row>
    <row r="50" spans="2:9" ht="12" customHeight="1">
      <c r="B50" s="115" t="s">
        <v>153</v>
      </c>
      <c r="C50" s="110"/>
      <c r="D50" s="120" t="s">
        <v>1</v>
      </c>
      <c r="E50" s="121" t="s">
        <v>83</v>
      </c>
      <c r="F50" s="83"/>
      <c r="G50" s="83"/>
      <c r="H50" s="83"/>
      <c r="I50" s="83"/>
    </row>
    <row r="51" spans="2:9" ht="12" customHeight="1">
      <c r="B51" s="83"/>
      <c r="C51" s="77" t="s">
        <v>34</v>
      </c>
      <c r="D51" s="122">
        <f>TRUNC(E$21,2)</f>
        <v>0</v>
      </c>
      <c r="E51" s="111">
        <v>1</v>
      </c>
      <c r="F51" s="112">
        <f>ROUND(D51*E51,3)</f>
        <v>0</v>
      </c>
      <c r="G51" s="100"/>
      <c r="H51" s="83"/>
      <c r="I51" s="83"/>
    </row>
    <row r="52" spans="2:9" ht="12" customHeight="1">
      <c r="B52" s="83"/>
      <c r="C52" s="77" t="s">
        <v>35</v>
      </c>
      <c r="D52" s="122">
        <f>TRUNC(F$21,2)</f>
        <v>0.5</v>
      </c>
      <c r="E52" s="111">
        <v>2</v>
      </c>
      <c r="F52" s="112">
        <f>ROUND(D52*E52,3)</f>
        <v>1</v>
      </c>
      <c r="G52" s="100"/>
      <c r="H52" s="83"/>
      <c r="I52" s="83"/>
    </row>
    <row r="53" spans="2:9" ht="12" customHeight="1">
      <c r="B53" s="83"/>
      <c r="C53" s="71" t="s">
        <v>36</v>
      </c>
      <c r="D53" s="122">
        <f>TRUNC(C$21,2)</f>
        <v>0</v>
      </c>
      <c r="E53" s="111">
        <v>2</v>
      </c>
      <c r="F53" s="112">
        <f>ROUND(D53*E53,3)</f>
        <v>0</v>
      </c>
      <c r="G53" s="100"/>
      <c r="H53" s="83"/>
      <c r="I53" s="83"/>
    </row>
    <row r="54" spans="2:9" ht="12" customHeight="1">
      <c r="B54" s="83"/>
      <c r="C54" s="71" t="s">
        <v>37</v>
      </c>
      <c r="D54" s="122">
        <f>TRUNC(D$21,2)</f>
        <v>0</v>
      </c>
      <c r="E54" s="111">
        <v>2</v>
      </c>
      <c r="F54" s="112">
        <f>ROUND(D54*E54,3)</f>
        <v>0</v>
      </c>
      <c r="G54" s="100"/>
      <c r="H54" s="83"/>
      <c r="I54" s="83"/>
    </row>
    <row r="55" spans="1:9" ht="12" customHeight="1">
      <c r="A55" s="13"/>
      <c r="B55" s="83"/>
      <c r="C55" s="77" t="s">
        <v>38</v>
      </c>
      <c r="D55" s="238">
        <v>13.5</v>
      </c>
      <c r="E55" s="111">
        <v>0.7</v>
      </c>
      <c r="F55" s="112">
        <f>ROUND(D55*E55,3)</f>
        <v>9.45</v>
      </c>
      <c r="G55" s="100" t="s">
        <v>159</v>
      </c>
      <c r="H55" s="123">
        <f>SUM(F51:F55)</f>
        <v>10.45</v>
      </c>
      <c r="I55" s="83"/>
    </row>
    <row r="56" spans="1:9" ht="12" customHeight="1">
      <c r="A56" s="30"/>
      <c r="B56" s="82"/>
      <c r="C56" s="110"/>
      <c r="D56" s="110"/>
      <c r="E56" s="110"/>
      <c r="F56" s="110"/>
      <c r="G56" s="100"/>
      <c r="H56" s="100"/>
      <c r="I56" s="83"/>
    </row>
    <row r="57" spans="1:9" ht="12" customHeight="1">
      <c r="A57" s="31"/>
      <c r="B57" s="83"/>
      <c r="C57" s="113" t="s">
        <v>161</v>
      </c>
      <c r="D57" s="237">
        <v>0.01</v>
      </c>
      <c r="E57" s="110">
        <v>25</v>
      </c>
      <c r="F57" s="83"/>
      <c r="G57" s="113" t="s">
        <v>160</v>
      </c>
      <c r="H57" s="112">
        <f>ROUND(D57*E57,3)</f>
        <v>0.25</v>
      </c>
      <c r="I57" s="83"/>
    </row>
    <row r="58" spans="1:9" ht="12" customHeight="1">
      <c r="A58" s="31"/>
      <c r="B58" s="83"/>
      <c r="C58" s="100"/>
      <c r="D58" s="100"/>
      <c r="E58" s="100"/>
      <c r="F58" s="100"/>
      <c r="G58" s="83"/>
      <c r="H58" s="113" t="s">
        <v>162</v>
      </c>
      <c r="I58" s="114">
        <f>SUM(H55:H57)</f>
        <v>10.7</v>
      </c>
    </row>
    <row r="59" spans="1:9" ht="12" customHeight="1">
      <c r="A59" s="31"/>
      <c r="B59" s="75" t="s">
        <v>154</v>
      </c>
      <c r="C59" s="83"/>
      <c r="D59" s="83"/>
      <c r="E59" s="83"/>
      <c r="F59" s="83"/>
      <c r="G59" s="83"/>
      <c r="H59" s="83"/>
      <c r="I59" s="83"/>
    </row>
    <row r="60" spans="1:9" ht="12" customHeight="1">
      <c r="A60" s="13"/>
      <c r="B60" s="124"/>
      <c r="C60" s="121" t="s">
        <v>1</v>
      </c>
      <c r="D60" s="121"/>
      <c r="E60" s="121" t="s">
        <v>83</v>
      </c>
      <c r="F60" s="83"/>
      <c r="G60" s="83"/>
      <c r="H60" s="83"/>
      <c r="I60" s="83"/>
    </row>
    <row r="61" spans="2:9" ht="12" customHeight="1">
      <c r="B61" s="125"/>
      <c r="C61" s="235"/>
      <c r="D61" s="126"/>
      <c r="E61" s="127">
        <v>0.05</v>
      </c>
      <c r="F61" s="83"/>
      <c r="G61" s="83"/>
      <c r="H61" s="113" t="s">
        <v>85</v>
      </c>
      <c r="I61" s="112">
        <f>ROUND(C61*E61,3)</f>
        <v>0</v>
      </c>
    </row>
    <row r="62" spans="1:9" ht="12" customHeight="1">
      <c r="A62" s="13"/>
      <c r="B62" s="83"/>
      <c r="C62" s="83"/>
      <c r="D62" s="83"/>
      <c r="E62" s="83"/>
      <c r="F62" s="83"/>
      <c r="G62" s="83"/>
      <c r="H62" s="83"/>
      <c r="I62" s="83"/>
    </row>
    <row r="63" spans="2:9" ht="12" customHeight="1">
      <c r="B63" s="67" t="s">
        <v>155</v>
      </c>
      <c r="C63" s="83"/>
      <c r="D63" s="83"/>
      <c r="E63" s="83"/>
      <c r="F63" s="83"/>
      <c r="G63" s="83"/>
      <c r="H63" s="113"/>
      <c r="I63" s="114"/>
    </row>
    <row r="64" spans="1:9" ht="12" customHeight="1">
      <c r="A64" s="13"/>
      <c r="B64" s="128" t="s">
        <v>39</v>
      </c>
      <c r="C64" s="121" t="s">
        <v>1</v>
      </c>
      <c r="D64" s="121" t="s">
        <v>31</v>
      </c>
      <c r="E64" s="121" t="s">
        <v>83</v>
      </c>
      <c r="F64" s="83"/>
      <c r="G64" s="83"/>
      <c r="H64" s="83"/>
      <c r="I64" s="83"/>
    </row>
    <row r="65" spans="2:9" ht="12" customHeight="1">
      <c r="B65" s="129">
        <v>1</v>
      </c>
      <c r="C65" s="235"/>
      <c r="D65" s="126">
        <f>C65/6</f>
        <v>0</v>
      </c>
      <c r="E65" s="72"/>
      <c r="F65" s="100"/>
      <c r="G65" s="83"/>
      <c r="H65" s="112"/>
      <c r="I65" s="83"/>
    </row>
    <row r="66" spans="2:9" ht="12" customHeight="1">
      <c r="B66" s="130">
        <v>2</v>
      </c>
      <c r="C66" s="235"/>
      <c r="D66" s="126">
        <f>C66/3</f>
        <v>0</v>
      </c>
      <c r="E66" s="72"/>
      <c r="F66" s="83"/>
      <c r="G66" s="83"/>
      <c r="H66" s="112"/>
      <c r="I66" s="83"/>
    </row>
    <row r="67" spans="2:9" ht="12" customHeight="1">
      <c r="B67" s="130">
        <v>3</v>
      </c>
      <c r="C67" s="236"/>
      <c r="D67" s="131">
        <f>C67/2</f>
        <v>0</v>
      </c>
      <c r="E67" s="72"/>
      <c r="F67" s="83"/>
      <c r="G67" s="83"/>
      <c r="H67" s="112"/>
      <c r="I67" s="83"/>
    </row>
    <row r="68" spans="1:9" ht="12" customHeight="1">
      <c r="A68" s="13"/>
      <c r="B68" s="81" t="s">
        <v>40</v>
      </c>
      <c r="C68" s="72">
        <f>SUM(C65:C67)</f>
        <v>0</v>
      </c>
      <c r="D68" s="72">
        <f>ROUND(SUM(D65:D67),2)</f>
        <v>0</v>
      </c>
      <c r="E68" s="116">
        <v>0.5</v>
      </c>
      <c r="F68" s="100"/>
      <c r="G68" s="112"/>
      <c r="H68" s="113" t="s">
        <v>84</v>
      </c>
      <c r="I68" s="112">
        <f>ROUND(D68*E68,3)</f>
        <v>0</v>
      </c>
    </row>
    <row r="69" spans="2:9" ht="12" customHeight="1">
      <c r="B69" s="125" t="s">
        <v>41</v>
      </c>
      <c r="C69" s="83"/>
      <c r="D69" s="83"/>
      <c r="E69" s="83"/>
      <c r="F69" s="83"/>
      <c r="G69" s="83"/>
      <c r="H69" s="83"/>
      <c r="I69" s="83"/>
    </row>
    <row r="70" spans="2:9" ht="12" customHeight="1">
      <c r="B70" s="125"/>
      <c r="C70" s="83"/>
      <c r="D70" s="83"/>
      <c r="E70" s="83"/>
      <c r="F70" s="83"/>
      <c r="G70" s="83"/>
      <c r="H70" s="83"/>
      <c r="I70" s="83"/>
    </row>
    <row r="71" spans="2:9" ht="12" customHeight="1">
      <c r="B71" s="115" t="s">
        <v>146</v>
      </c>
      <c r="C71" s="83"/>
      <c r="D71" s="83"/>
      <c r="E71" s="83"/>
      <c r="F71" s="83"/>
      <c r="G71" s="83"/>
      <c r="H71" s="83"/>
      <c r="I71" s="83"/>
    </row>
    <row r="72" spans="2:9" ht="12" customHeight="1">
      <c r="B72" s="125"/>
      <c r="C72" s="121" t="s">
        <v>1</v>
      </c>
      <c r="D72" s="83"/>
      <c r="E72" s="121" t="s">
        <v>83</v>
      </c>
      <c r="F72" s="83"/>
      <c r="G72" s="83"/>
      <c r="H72" s="83"/>
      <c r="I72" s="83"/>
    </row>
    <row r="73" spans="2:9" ht="12" customHeight="1">
      <c r="B73" s="125"/>
      <c r="C73" s="231"/>
      <c r="D73" s="83"/>
      <c r="E73" s="132">
        <v>0.06</v>
      </c>
      <c r="F73" s="83"/>
      <c r="G73" s="83"/>
      <c r="H73" s="71" t="s">
        <v>147</v>
      </c>
      <c r="I73" s="132">
        <f>C73*0.06</f>
        <v>0</v>
      </c>
    </row>
    <row r="74" spans="2:9" ht="12" customHeight="1">
      <c r="B74" s="125"/>
      <c r="C74" s="133"/>
      <c r="D74" s="83"/>
      <c r="E74" s="83"/>
      <c r="F74" s="83"/>
      <c r="G74" s="83"/>
      <c r="H74" s="71"/>
      <c r="I74" s="83"/>
    </row>
    <row r="75" spans="2:9" ht="12" customHeight="1">
      <c r="B75" s="125"/>
      <c r="C75" s="83"/>
      <c r="D75" s="83"/>
      <c r="E75" s="83"/>
      <c r="F75" s="83"/>
      <c r="G75" s="83"/>
      <c r="H75" s="92" t="s">
        <v>42</v>
      </c>
      <c r="I75" s="114">
        <f>SUM(I30:I73)</f>
        <v>95.075</v>
      </c>
    </row>
    <row r="76" spans="2:9" ht="12" customHeight="1">
      <c r="B76" s="83"/>
      <c r="C76" s="83"/>
      <c r="D76" s="83"/>
      <c r="E76" s="83"/>
      <c r="F76" s="83"/>
      <c r="G76" s="83"/>
      <c r="H76" s="92"/>
      <c r="I76" s="114"/>
    </row>
    <row r="77" spans="2:9" ht="12" customHeight="1">
      <c r="B77" s="83"/>
      <c r="C77" s="83"/>
      <c r="D77" s="83"/>
      <c r="E77" s="83"/>
      <c r="F77" s="83"/>
      <c r="G77" s="83"/>
      <c r="H77" s="71" t="s">
        <v>170</v>
      </c>
      <c r="I77" s="234">
        <v>1</v>
      </c>
    </row>
    <row r="78" spans="2:9" ht="12" customHeight="1">
      <c r="B78" s="83"/>
      <c r="C78" s="83"/>
      <c r="D78" s="83"/>
      <c r="E78" s="83"/>
      <c r="F78" s="83"/>
      <c r="G78" s="83"/>
      <c r="H78" s="71"/>
      <c r="I78" s="134"/>
    </row>
    <row r="79" spans="2:9" ht="12" customHeight="1">
      <c r="B79" s="75" t="s">
        <v>88</v>
      </c>
      <c r="C79" s="83"/>
      <c r="D79" s="83"/>
      <c r="E79" s="83"/>
      <c r="F79" s="83"/>
      <c r="G79" s="83"/>
      <c r="H79" s="92" t="s">
        <v>43</v>
      </c>
      <c r="I79" s="112">
        <f>ROUND(I75*I77,3)</f>
        <v>95.075</v>
      </c>
    </row>
    <row r="80" spans="1:9" ht="12" customHeight="1">
      <c r="A80" s="13"/>
      <c r="B80" s="83"/>
      <c r="C80" s="121" t="s">
        <v>141</v>
      </c>
      <c r="D80" s="83"/>
      <c r="E80" s="121" t="s">
        <v>83</v>
      </c>
      <c r="F80" s="83"/>
      <c r="G80" s="83"/>
      <c r="H80" s="83"/>
      <c r="I80" s="83"/>
    </row>
    <row r="81" spans="1:10" ht="12" customHeight="1">
      <c r="A81" s="13"/>
      <c r="B81" s="83"/>
      <c r="C81" s="233"/>
      <c r="D81" s="135"/>
      <c r="E81" s="132">
        <v>1.5</v>
      </c>
      <c r="F81" s="83"/>
      <c r="G81" s="83"/>
      <c r="H81" s="113" t="s">
        <v>89</v>
      </c>
      <c r="I81" s="112">
        <f>ROUND(C81*E81,3)</f>
        <v>0</v>
      </c>
      <c r="J81" s="5"/>
    </row>
    <row r="82" spans="1:9" ht="12" customHeight="1">
      <c r="A82" s="13"/>
      <c r="B82" s="100"/>
      <c r="C82" s="125"/>
      <c r="D82" s="135"/>
      <c r="E82" s="136"/>
      <c r="F82" s="83"/>
      <c r="G82" s="83"/>
      <c r="H82" s="113"/>
      <c r="I82" s="137" t="s">
        <v>0</v>
      </c>
    </row>
    <row r="83" spans="2:9" ht="12" customHeight="1">
      <c r="B83" s="67" t="s">
        <v>44</v>
      </c>
      <c r="C83" s="83"/>
      <c r="D83" s="83"/>
      <c r="E83" s="83"/>
      <c r="F83" s="83"/>
      <c r="G83" s="83"/>
      <c r="H83" s="71" t="s">
        <v>70</v>
      </c>
      <c r="I83" s="138">
        <f>D88</f>
        <v>9.954</v>
      </c>
    </row>
    <row r="84" spans="1:9" ht="12" customHeight="1">
      <c r="A84" s="13"/>
      <c r="B84" s="139"/>
      <c r="C84" s="139"/>
      <c r="D84" s="121"/>
      <c r="E84" s="139"/>
      <c r="F84" s="83"/>
      <c r="G84" s="83"/>
      <c r="H84" s="140" t="str">
        <f>IF($D$25="N"," ","Charter Schools not eligible for District Size")</f>
        <v>Charter Schools not eligible for District Size</v>
      </c>
      <c r="I84" s="137">
        <f>IF(D25="n",0,-I83)</f>
        <v>-9.954</v>
      </c>
    </row>
    <row r="85" spans="1:9" ht="12" customHeight="1">
      <c r="A85" s="13"/>
      <c r="B85" s="139"/>
      <c r="C85" s="139"/>
      <c r="D85" s="121" t="s">
        <v>33</v>
      </c>
      <c r="E85" s="139"/>
      <c r="F85" s="83"/>
      <c r="G85" s="83"/>
      <c r="H85" s="140"/>
      <c r="I85" s="137"/>
    </row>
    <row r="86" spans="2:9" ht="12" customHeight="1">
      <c r="B86" s="83"/>
      <c r="C86" s="71" t="s">
        <v>114</v>
      </c>
      <c r="D86" s="112">
        <f>I154</f>
        <v>0</v>
      </c>
      <c r="E86" s="83"/>
      <c r="F86" s="83"/>
      <c r="G86" s="83"/>
      <c r="H86" s="71" t="s">
        <v>69</v>
      </c>
      <c r="I86" s="112">
        <f>SUM(D86:D87)</f>
        <v>89.244</v>
      </c>
    </row>
    <row r="87" spans="2:9" ht="12" customHeight="1">
      <c r="B87" s="83"/>
      <c r="C87" s="71" t="s">
        <v>115</v>
      </c>
      <c r="D87" s="112">
        <f>I169</f>
        <v>89.244</v>
      </c>
      <c r="E87" s="83"/>
      <c r="F87" s="83" t="s">
        <v>0</v>
      </c>
      <c r="G87" s="83"/>
      <c r="H87" s="71"/>
      <c r="I87" s="83"/>
    </row>
    <row r="88" spans="2:9" ht="12" customHeight="1">
      <c r="B88" s="83"/>
      <c r="C88" s="71" t="s">
        <v>116</v>
      </c>
      <c r="D88" s="138">
        <f>IF(I26&gt;0,ROUND(IF(I26&lt;4000,((4000-I26)/4000)*(0.15*I26),0),3),ROUND(IF(I22&lt;4000,((4000-I22)/4000)*(0.15*I22),0),3))</f>
        <v>9.954</v>
      </c>
      <c r="E88" s="83"/>
      <c r="F88" s="83"/>
      <c r="G88" s="83"/>
      <c r="H88" s="71" t="s">
        <v>80</v>
      </c>
      <c r="I88" s="112">
        <f>IF(AND(H176&gt;0,I176&gt;0),I176,0)</f>
        <v>0</v>
      </c>
    </row>
    <row r="89" spans="2:10" ht="12" customHeight="1">
      <c r="B89" s="83"/>
      <c r="C89" s="83"/>
      <c r="D89" s="83"/>
      <c r="E89" s="83"/>
      <c r="F89" s="83"/>
      <c r="G89" s="83"/>
      <c r="H89" s="71"/>
      <c r="I89" s="83"/>
      <c r="J89" s="4"/>
    </row>
    <row r="90" spans="2:9" ht="12" customHeight="1">
      <c r="B90" s="83"/>
      <c r="C90" s="83"/>
      <c r="D90" s="83"/>
      <c r="E90" s="121"/>
      <c r="F90" s="83"/>
      <c r="G90" s="83"/>
      <c r="H90" s="71" t="s">
        <v>81</v>
      </c>
      <c r="I90" s="141">
        <f>IF(I182&gt;0,I185,IF(AND(I185&gt;0),I185,0))</f>
        <v>0</v>
      </c>
    </row>
    <row r="91" spans="1:10" s="4" customFormat="1" ht="12" customHeight="1">
      <c r="A91" s="12"/>
      <c r="B91" s="142" t="s">
        <v>45</v>
      </c>
      <c r="C91" s="128" t="s">
        <v>86</v>
      </c>
      <c r="D91" s="121" t="s">
        <v>1</v>
      </c>
      <c r="E91" s="143"/>
      <c r="F91" s="83"/>
      <c r="G91" s="83"/>
      <c r="H91" s="71"/>
      <c r="I91" s="114"/>
      <c r="J91" s="2"/>
    </row>
    <row r="92" spans="2:9" ht="12" customHeight="1">
      <c r="B92" s="144" t="s">
        <v>171</v>
      </c>
      <c r="C92" s="232">
        <v>0.115</v>
      </c>
      <c r="D92" s="73">
        <f>I24</f>
        <v>67.5</v>
      </c>
      <c r="E92" s="145" t="s">
        <v>0</v>
      </c>
      <c r="F92" s="83"/>
      <c r="G92" s="83"/>
      <c r="H92" s="71" t="s">
        <v>90</v>
      </c>
      <c r="I92" s="141">
        <f>IF(D92&gt;0,C92*D92,0)</f>
        <v>7.763</v>
      </c>
    </row>
    <row r="93" spans="2:10" ht="12" customHeight="1">
      <c r="B93" s="83"/>
      <c r="C93" s="83"/>
      <c r="D93" s="83"/>
      <c r="E93" s="83"/>
      <c r="F93" s="83"/>
      <c r="G93" s="83"/>
      <c r="H93" s="83"/>
      <c r="I93" s="83"/>
      <c r="J93" s="4"/>
    </row>
    <row r="94" spans="2:9" ht="12" customHeight="1">
      <c r="B94" s="115" t="s">
        <v>144</v>
      </c>
      <c r="C94" s="83"/>
      <c r="D94" s="83"/>
      <c r="E94" s="83"/>
      <c r="F94" s="83"/>
      <c r="G94" s="83"/>
      <c r="H94" s="71" t="s">
        <v>46</v>
      </c>
      <c r="I94" s="138">
        <f>IF(D$27="N",E124,E126)</f>
        <v>0</v>
      </c>
    </row>
    <row r="95" spans="1:9" ht="12" customHeight="1">
      <c r="A95" s="13"/>
      <c r="B95" s="109" t="s">
        <v>156</v>
      </c>
      <c r="C95" s="121" t="s">
        <v>1</v>
      </c>
      <c r="D95" s="83"/>
      <c r="E95" s="121" t="s">
        <v>83</v>
      </c>
      <c r="F95" s="146"/>
      <c r="G95" s="83"/>
      <c r="H95" s="140"/>
      <c r="I95" s="137"/>
    </row>
    <row r="96" spans="1:9" ht="12" customHeight="1">
      <c r="A96" s="13"/>
      <c r="B96" s="83"/>
      <c r="C96" s="231"/>
      <c r="D96" s="83"/>
      <c r="E96" s="132">
        <v>0.1</v>
      </c>
      <c r="F96" s="146"/>
      <c r="G96" s="83"/>
      <c r="H96" s="71" t="s">
        <v>142</v>
      </c>
      <c r="I96" s="137">
        <f>C96*0.1</f>
        <v>0</v>
      </c>
    </row>
    <row r="97" spans="1:9" ht="12" customHeight="1">
      <c r="A97" s="13"/>
      <c r="B97" s="83"/>
      <c r="C97" s="133"/>
      <c r="D97" s="83"/>
      <c r="E97" s="132"/>
      <c r="F97" s="146"/>
      <c r="G97" s="83"/>
      <c r="H97" s="140" t="str">
        <f>IF($D$25="N"," ","(Charters not eligible for CS Student Activities)")</f>
        <v>(Charters not eligible for CS Student Activities)</v>
      </c>
      <c r="I97" s="138">
        <f>IF(D$25="Y",-I96,0)</f>
        <v>0</v>
      </c>
    </row>
    <row r="98" spans="1:9" ht="12" customHeight="1">
      <c r="A98" s="13"/>
      <c r="B98" s="115" t="s">
        <v>145</v>
      </c>
      <c r="C98" s="83"/>
      <c r="D98" s="83"/>
      <c r="E98" s="83"/>
      <c r="F98" s="146"/>
      <c r="G98" s="83"/>
      <c r="H98" s="83"/>
      <c r="I98" s="83"/>
    </row>
    <row r="99" spans="1:9" ht="12" customHeight="1">
      <c r="A99" s="13"/>
      <c r="B99" s="109" t="s">
        <v>156</v>
      </c>
      <c r="C99" s="147" t="s">
        <v>1</v>
      </c>
      <c r="D99" s="94"/>
      <c r="E99" s="147" t="s">
        <v>83</v>
      </c>
      <c r="F99" s="146"/>
      <c r="G99" s="83"/>
      <c r="H99" s="140"/>
      <c r="I99" s="137"/>
    </row>
    <row r="100" spans="1:9" ht="12" customHeight="1">
      <c r="A100" s="13"/>
      <c r="B100" s="71"/>
      <c r="C100" s="230"/>
      <c r="D100" s="94"/>
      <c r="E100" s="148">
        <v>0.1</v>
      </c>
      <c r="F100" s="146"/>
      <c r="G100" s="83"/>
      <c r="H100" s="71" t="s">
        <v>143</v>
      </c>
      <c r="I100" s="137">
        <f>C100*0.1</f>
        <v>0</v>
      </c>
    </row>
    <row r="101" spans="1:9" ht="12" customHeight="1">
      <c r="A101" s="13"/>
      <c r="B101" s="83"/>
      <c r="C101" s="83"/>
      <c r="D101" s="83"/>
      <c r="E101" s="83"/>
      <c r="F101" s="146"/>
      <c r="G101" s="83"/>
      <c r="H101" s="140" t="str">
        <f>IF($D$25="N"," ","(Charters not eligible for Home School Student Activities)")</f>
        <v>(Charters not eligible for Home School Student Activities)</v>
      </c>
      <c r="I101" s="138">
        <f>IF(D$25="Y",-I100,0)</f>
        <v>0</v>
      </c>
    </row>
    <row r="102" spans="1:9" ht="12" customHeight="1">
      <c r="A102" s="13"/>
      <c r="B102" s="94"/>
      <c r="C102" s="83"/>
      <c r="D102" s="83"/>
      <c r="E102" s="83"/>
      <c r="F102" s="83"/>
      <c r="G102" s="83"/>
      <c r="H102" s="83"/>
      <c r="I102" s="149"/>
    </row>
    <row r="103" spans="2:9" ht="12" customHeight="1">
      <c r="B103" s="83"/>
      <c r="C103" s="83"/>
      <c r="D103" s="83"/>
      <c r="E103" s="83"/>
      <c r="F103" s="83"/>
      <c r="G103" s="83"/>
      <c r="H103" s="89" t="s">
        <v>93</v>
      </c>
      <c r="I103" s="141">
        <f>SUM(I79:I102)</f>
        <v>192.082</v>
      </c>
    </row>
    <row r="104" spans="2:10" ht="12" customHeight="1">
      <c r="B104" s="83"/>
      <c r="C104" s="83"/>
      <c r="D104" s="83"/>
      <c r="E104" s="83"/>
      <c r="F104" s="83"/>
      <c r="G104" s="83"/>
      <c r="H104" s="89"/>
      <c r="I104" s="83"/>
      <c r="J104" s="4"/>
    </row>
    <row r="105" spans="2:9" ht="12" customHeight="1">
      <c r="B105" s="83"/>
      <c r="C105" s="83"/>
      <c r="D105" s="83"/>
      <c r="E105" s="83"/>
      <c r="F105" s="83"/>
      <c r="G105" s="83"/>
      <c r="H105" s="71" t="s">
        <v>95</v>
      </c>
      <c r="I105" s="138">
        <f>IF(AND(I26&lt;=200,E121&gt;I103),E121-I103,0)</f>
        <v>0</v>
      </c>
    </row>
    <row r="106" spans="2:10" ht="12" customHeight="1" thickBot="1">
      <c r="B106" s="83"/>
      <c r="C106" s="83"/>
      <c r="D106" s="83"/>
      <c r="E106" s="83"/>
      <c r="F106" s="83"/>
      <c r="G106" s="83"/>
      <c r="H106" s="150"/>
      <c r="I106" s="83"/>
      <c r="J106" s="9"/>
    </row>
    <row r="107" spans="2:9" ht="12" customHeight="1">
      <c r="B107" s="268" t="s">
        <v>139</v>
      </c>
      <c r="C107" s="269"/>
      <c r="D107" s="269"/>
      <c r="E107" s="270"/>
      <c r="F107" s="83"/>
      <c r="G107" s="83"/>
      <c r="H107" s="89"/>
      <c r="I107" s="141"/>
    </row>
    <row r="108" spans="2:9" ht="12" customHeight="1">
      <c r="B108" s="151"/>
      <c r="C108" s="152"/>
      <c r="D108" s="152"/>
      <c r="E108" s="153"/>
      <c r="F108" s="83"/>
      <c r="G108" s="83"/>
      <c r="H108" s="89"/>
      <c r="I108" s="149"/>
    </row>
    <row r="109" spans="2:9" ht="12" customHeight="1">
      <c r="B109" s="154" t="s">
        <v>172</v>
      </c>
      <c r="C109" s="155"/>
      <c r="D109" s="94"/>
      <c r="E109" s="228">
        <v>68</v>
      </c>
      <c r="F109" s="83"/>
      <c r="G109" s="83"/>
      <c r="H109" s="89" t="s">
        <v>47</v>
      </c>
      <c r="I109" s="141">
        <f>SUM(I103:I108)</f>
        <v>192.082</v>
      </c>
    </row>
    <row r="110" spans="2:9" ht="12" customHeight="1">
      <c r="B110" s="156" t="s">
        <v>148</v>
      </c>
      <c r="C110" s="94"/>
      <c r="D110" s="94"/>
      <c r="E110" s="157"/>
      <c r="F110" s="83"/>
      <c r="G110" s="83"/>
      <c r="H110" s="89"/>
      <c r="I110" s="141"/>
    </row>
    <row r="111" spans="2:9" ht="12" customHeight="1">
      <c r="B111" s="156"/>
      <c r="C111" s="94"/>
      <c r="D111" s="94"/>
      <c r="E111" s="157"/>
      <c r="F111" s="146"/>
      <c r="G111" s="83"/>
      <c r="H111" s="71" t="s">
        <v>48</v>
      </c>
      <c r="I111" s="223">
        <v>3585.97</v>
      </c>
    </row>
    <row r="112" spans="2:10" ht="12" customHeight="1" thickBot="1">
      <c r="B112" s="154" t="s">
        <v>173</v>
      </c>
      <c r="C112" s="158"/>
      <c r="D112" s="94"/>
      <c r="E112" s="228">
        <v>68</v>
      </c>
      <c r="F112" s="146"/>
      <c r="G112" s="83"/>
      <c r="H112" s="92"/>
      <c r="I112" s="159"/>
      <c r="J112" s="5"/>
    </row>
    <row r="113" spans="2:10" ht="12" customHeight="1" thickTop="1">
      <c r="B113" s="156" t="s">
        <v>148</v>
      </c>
      <c r="C113" s="94"/>
      <c r="D113" s="94"/>
      <c r="E113" s="157"/>
      <c r="F113" s="146"/>
      <c r="G113" s="83"/>
      <c r="H113" s="92"/>
      <c r="I113" s="141"/>
      <c r="J113" s="5"/>
    </row>
    <row r="114" spans="2:10" ht="12" customHeight="1">
      <c r="B114" s="156"/>
      <c r="C114" s="94"/>
      <c r="D114" s="94"/>
      <c r="E114" s="157"/>
      <c r="F114" s="146"/>
      <c r="G114" s="83"/>
      <c r="H114" s="89" t="s">
        <v>30</v>
      </c>
      <c r="I114" s="160">
        <f>I109*I111</f>
        <v>688800.29</v>
      </c>
      <c r="J114" s="5"/>
    </row>
    <row r="115" spans="2:9" ht="12" customHeight="1">
      <c r="B115" s="154" t="s">
        <v>174</v>
      </c>
      <c r="C115" s="57"/>
      <c r="D115" s="57"/>
      <c r="E115" s="228"/>
      <c r="F115" s="146"/>
      <c r="G115" s="83"/>
      <c r="H115" s="89"/>
      <c r="I115" s="160"/>
    </row>
    <row r="116" spans="1:9" ht="12" customHeight="1">
      <c r="A116" s="24"/>
      <c r="B116" s="156" t="s">
        <v>148</v>
      </c>
      <c r="C116" s="57"/>
      <c r="D116" s="57"/>
      <c r="E116" s="161"/>
      <c r="F116" s="162" t="s">
        <v>117</v>
      </c>
      <c r="G116" s="83"/>
      <c r="H116" s="83"/>
      <c r="I116" s="83"/>
    </row>
    <row r="117" spans="1:9" ht="12" customHeight="1">
      <c r="A117" s="24"/>
      <c r="B117" s="154"/>
      <c r="C117" s="158"/>
      <c r="D117" s="94"/>
      <c r="E117" s="163"/>
      <c r="F117" s="94"/>
      <c r="G117" s="164" t="s">
        <v>136</v>
      </c>
      <c r="H117" s="226"/>
      <c r="I117" s="83"/>
    </row>
    <row r="118" spans="2:9" ht="12" customHeight="1">
      <c r="B118" s="154"/>
      <c r="C118" s="158"/>
      <c r="D118" s="94"/>
      <c r="E118" s="165"/>
      <c r="F118" s="94"/>
      <c r="G118" s="164" t="s">
        <v>137</v>
      </c>
      <c r="H118" s="226"/>
      <c r="I118" s="83"/>
    </row>
    <row r="119" spans="2:9" ht="12" customHeight="1">
      <c r="B119" s="156"/>
      <c r="C119" s="94"/>
      <c r="D119" s="94"/>
      <c r="E119" s="157"/>
      <c r="F119" s="94"/>
      <c r="G119" s="164" t="s">
        <v>138</v>
      </c>
      <c r="H119" s="227"/>
      <c r="I119" s="166"/>
    </row>
    <row r="120" spans="2:9" ht="12" customHeight="1">
      <c r="B120" s="167" t="s">
        <v>123</v>
      </c>
      <c r="C120" s="158"/>
      <c r="D120" s="94"/>
      <c r="E120" s="168"/>
      <c r="F120" s="83"/>
      <c r="G120" s="169" t="s">
        <v>98</v>
      </c>
      <c r="H120" s="170">
        <f>ROUND(SUM(H117:H119),2)</f>
        <v>0</v>
      </c>
      <c r="I120" s="83"/>
    </row>
    <row r="121" spans="2:9" ht="12" customHeight="1">
      <c r="B121" s="154" t="s">
        <v>175</v>
      </c>
      <c r="C121" s="57"/>
      <c r="D121" s="57"/>
      <c r="E121" s="229"/>
      <c r="F121" s="171"/>
      <c r="G121" s="100"/>
      <c r="H121" s="94"/>
      <c r="I121" s="83"/>
    </row>
    <row r="122" spans="1:9" ht="12" customHeight="1">
      <c r="A122" s="24"/>
      <c r="B122" s="156"/>
      <c r="C122" s="94"/>
      <c r="D122" s="91" t="s">
        <v>157</v>
      </c>
      <c r="E122" s="157"/>
      <c r="F122" s="172"/>
      <c r="G122" s="83"/>
      <c r="H122" s="173" t="s">
        <v>163</v>
      </c>
      <c r="I122" s="160">
        <f>ROUND(-(H120*0.75),2)</f>
        <v>0</v>
      </c>
    </row>
    <row r="123" spans="1:9" ht="12" customHeight="1">
      <c r="A123" s="24"/>
      <c r="B123" s="167" t="s">
        <v>122</v>
      </c>
      <c r="C123" s="94"/>
      <c r="D123" s="94"/>
      <c r="E123" s="157"/>
      <c r="F123" s="172"/>
      <c r="G123" s="83"/>
      <c r="H123" s="174" t="str">
        <f>IF(AND(D25="Y",I122&lt;0),"CREDITS ONLY FOR DISTRICTS!"," ")</f>
        <v> </v>
      </c>
      <c r="I123" s="160" t="str">
        <f>IF(AND(D25="Y",I122&lt;0),-I122," ")</f>
        <v> </v>
      </c>
    </row>
    <row r="124" spans="1:9" ht="12" customHeight="1">
      <c r="A124" s="24"/>
      <c r="B124" s="175" t="s">
        <v>176</v>
      </c>
      <c r="C124" s="176"/>
      <c r="D124" s="176"/>
      <c r="E124" s="177">
        <f>IF(((E112-E109)/E109)&gt;0.01,((((E112-E109)-(E112*0.01))*1.5)+((E112-E109)*0.5)),0)</f>
        <v>0</v>
      </c>
      <c r="F124" s="178" t="s">
        <v>87</v>
      </c>
      <c r="G124" s="100"/>
      <c r="H124" s="100"/>
      <c r="I124" s="100"/>
    </row>
    <row r="125" spans="2:9" ht="12" customHeight="1">
      <c r="B125" s="179" t="s">
        <v>177</v>
      </c>
      <c r="C125" s="180"/>
      <c r="D125" s="57"/>
      <c r="E125" s="181"/>
      <c r="F125" s="182" t="s">
        <v>97</v>
      </c>
      <c r="G125" s="183"/>
      <c r="H125" s="184">
        <f>'Cash Balance Credit'!B35</f>
        <v>0</v>
      </c>
      <c r="I125" s="83"/>
    </row>
    <row r="126" spans="2:9" ht="12" customHeight="1">
      <c r="B126" s="175" t="s">
        <v>94</v>
      </c>
      <c r="C126" s="180"/>
      <c r="D126" s="57"/>
      <c r="E126" s="177">
        <f>IF(((E115-E109)/E109)&gt;0.01,((((E115-E109)-(E115*0.01))*1.5)+((E115-E109)*0.5)),0)</f>
        <v>0</v>
      </c>
      <c r="F126" s="185" t="s">
        <v>96</v>
      </c>
      <c r="G126" s="186"/>
      <c r="H126" s="224"/>
      <c r="I126" s="83"/>
    </row>
    <row r="127" spans="2:9" ht="12" customHeight="1">
      <c r="B127" s="187" t="s">
        <v>121</v>
      </c>
      <c r="C127" s="57"/>
      <c r="D127" s="57"/>
      <c r="E127" s="188"/>
      <c r="F127" s="185" t="s">
        <v>78</v>
      </c>
      <c r="G127" s="186"/>
      <c r="H127" s="225"/>
      <c r="I127" s="83"/>
    </row>
    <row r="128" spans="2:9" ht="12" customHeight="1" thickBot="1">
      <c r="B128" s="189"/>
      <c r="C128" s="98"/>
      <c r="D128" s="98"/>
      <c r="E128" s="99"/>
      <c r="F128" s="185"/>
      <c r="G128" s="186"/>
      <c r="H128" s="145"/>
      <c r="I128" s="83"/>
    </row>
    <row r="129" spans="2:9" ht="12" customHeight="1">
      <c r="B129" s="94"/>
      <c r="C129" s="94"/>
      <c r="D129" s="94"/>
      <c r="E129" s="94"/>
      <c r="F129" s="171" t="s">
        <v>79</v>
      </c>
      <c r="G129" s="71"/>
      <c r="H129" s="170">
        <f>SUM(H124:H127)</f>
        <v>0</v>
      </c>
      <c r="I129" s="83"/>
    </row>
    <row r="130" spans="2:9" ht="12" customHeight="1">
      <c r="B130" s="94"/>
      <c r="C130" s="94"/>
      <c r="D130" s="94"/>
      <c r="E130" s="94"/>
      <c r="F130" s="190"/>
      <c r="G130" s="71"/>
      <c r="H130" s="170"/>
      <c r="I130" s="83"/>
    </row>
    <row r="131" spans="2:10" ht="12" customHeight="1">
      <c r="B131" s="94"/>
      <c r="C131" s="94"/>
      <c r="D131" s="94"/>
      <c r="E131" s="94"/>
      <c r="F131" s="83"/>
      <c r="G131" s="173"/>
      <c r="H131" s="173" t="s">
        <v>164</v>
      </c>
      <c r="I131" s="160">
        <f>(-H129)</f>
        <v>0</v>
      </c>
      <c r="J131" s="1"/>
    </row>
    <row r="132" spans="1:9" ht="12" customHeight="1">
      <c r="A132" s="24"/>
      <c r="B132" s="94"/>
      <c r="C132" s="94"/>
      <c r="D132" s="94"/>
      <c r="E132" s="94"/>
      <c r="F132" s="191"/>
      <c r="G132" s="83"/>
      <c r="H132" s="192"/>
      <c r="I132" s="100"/>
    </row>
    <row r="133" spans="1:9" ht="12" customHeight="1">
      <c r="A133" s="24"/>
      <c r="B133" s="94"/>
      <c r="C133" s="94"/>
      <c r="D133" s="94"/>
      <c r="E133" s="94"/>
      <c r="F133" s="83"/>
      <c r="G133" s="83"/>
      <c r="H133" s="83"/>
      <c r="I133" s="193">
        <f>IF(D25="N",0,(-SUM(I114)*0.02))</f>
        <v>-13776.01</v>
      </c>
    </row>
    <row r="134" spans="1:9" ht="12" customHeight="1" thickBot="1">
      <c r="A134" s="24"/>
      <c r="B134" s="94"/>
      <c r="C134" s="94"/>
      <c r="D134" s="83"/>
      <c r="E134" s="83"/>
      <c r="F134" s="83"/>
      <c r="G134" s="83"/>
      <c r="H134" s="83"/>
      <c r="I134" s="83"/>
    </row>
    <row r="135" spans="1:9" ht="12" customHeight="1">
      <c r="A135" s="24"/>
      <c r="B135" s="194"/>
      <c r="C135" s="94"/>
      <c r="D135" s="83"/>
      <c r="E135" s="262" t="s">
        <v>49</v>
      </c>
      <c r="F135" s="263"/>
      <c r="G135" s="263"/>
      <c r="H135" s="258">
        <f>ROUND(SUM(I114:I133),2)</f>
        <v>675024.28</v>
      </c>
      <c r="I135" s="259"/>
    </row>
    <row r="136" spans="1:9" ht="12" customHeight="1" thickBot="1">
      <c r="A136" s="23"/>
      <c r="B136" s="83"/>
      <c r="C136" s="83"/>
      <c r="D136" s="83"/>
      <c r="E136" s="264"/>
      <c r="F136" s="265"/>
      <c r="G136" s="265"/>
      <c r="H136" s="260"/>
      <c r="I136" s="261"/>
    </row>
    <row r="137" spans="1:12" ht="12" customHeight="1">
      <c r="A137" s="23"/>
      <c r="B137" s="57"/>
      <c r="C137" s="57"/>
      <c r="D137" s="57"/>
      <c r="E137" s="57"/>
      <c r="F137" s="57"/>
      <c r="G137" s="57"/>
      <c r="H137" s="57"/>
      <c r="I137" s="57"/>
      <c r="J137" s="3"/>
      <c r="K137" s="3"/>
      <c r="L137" s="3"/>
    </row>
    <row r="138" spans="1:13" ht="12" customHeight="1">
      <c r="A138" s="22"/>
      <c r="B138" s="195" t="s">
        <v>66</v>
      </c>
      <c r="C138" s="196"/>
      <c r="D138" s="197"/>
      <c r="E138" s="198"/>
      <c r="F138" s="198"/>
      <c r="G138" s="198"/>
      <c r="H138" s="197"/>
      <c r="I138" s="199" t="s">
        <v>169</v>
      </c>
      <c r="J138" s="1"/>
      <c r="K138" s="3"/>
      <c r="L138" s="3"/>
      <c r="M138" s="3"/>
    </row>
    <row r="139" spans="1:10" s="3" customFormat="1" ht="12" customHeight="1">
      <c r="A139" s="22"/>
      <c r="B139" s="195"/>
      <c r="C139" s="196"/>
      <c r="D139" s="197"/>
      <c r="E139" s="198"/>
      <c r="F139" s="198"/>
      <c r="G139" s="198"/>
      <c r="H139" s="197"/>
      <c r="I139" s="197"/>
      <c r="J139" s="1"/>
    </row>
    <row r="140" spans="1:12" s="3" customFormat="1" ht="12" customHeight="1">
      <c r="A140" s="22"/>
      <c r="B140" s="195"/>
      <c r="C140" s="196"/>
      <c r="D140" s="197"/>
      <c r="E140" s="198"/>
      <c r="F140" s="198"/>
      <c r="G140" s="198"/>
      <c r="H140" s="197"/>
      <c r="I140" s="197"/>
      <c r="J140" s="1"/>
      <c r="K140" s="1"/>
      <c r="L140" s="1"/>
    </row>
    <row r="141" spans="1:12" s="3" customFormat="1" ht="12" customHeight="1">
      <c r="A141" s="22"/>
      <c r="B141" s="195"/>
      <c r="C141" s="196"/>
      <c r="D141" s="197"/>
      <c r="E141" s="198"/>
      <c r="F141" s="198"/>
      <c r="G141" s="198"/>
      <c r="H141" s="197"/>
      <c r="I141" s="197"/>
      <c r="J141" s="1"/>
      <c r="K141" s="1"/>
      <c r="L141" s="1"/>
    </row>
    <row r="142" spans="1:13" s="3" customFormat="1" ht="12" customHeight="1">
      <c r="A142" s="24"/>
      <c r="B142" s="94"/>
      <c r="C142" s="94"/>
      <c r="D142" s="94"/>
      <c r="E142" s="94"/>
      <c r="F142" s="94"/>
      <c r="G142" s="94"/>
      <c r="H142" s="94"/>
      <c r="I142" s="94"/>
      <c r="J142" s="2"/>
      <c r="K142" s="1"/>
      <c r="L142" s="1"/>
      <c r="M142" s="1"/>
    </row>
    <row r="143" spans="1:10" s="1" customFormat="1" ht="12" customHeight="1">
      <c r="A143" s="29" t="str">
        <f>"1."</f>
        <v>1.</v>
      </c>
      <c r="B143" s="146" t="s">
        <v>119</v>
      </c>
      <c r="C143" s="83"/>
      <c r="D143" s="83"/>
      <c r="E143" s="83"/>
      <c r="F143" s="83"/>
      <c r="G143" s="83"/>
      <c r="H143" s="83"/>
      <c r="I143" s="94"/>
      <c r="J143" s="2"/>
    </row>
    <row r="144" spans="1:12" s="1" customFormat="1" ht="12" customHeight="1">
      <c r="A144" s="12"/>
      <c r="B144" s="190" t="s">
        <v>149</v>
      </c>
      <c r="C144" s="83"/>
      <c r="D144" s="83"/>
      <c r="E144" s="83"/>
      <c r="F144" s="83"/>
      <c r="G144" s="83"/>
      <c r="H144" s="83"/>
      <c r="I144" s="83"/>
      <c r="J144" s="2"/>
      <c r="K144" s="2"/>
      <c r="L144" s="2"/>
    </row>
    <row r="145" spans="1:12" s="1" customFormat="1" ht="12" customHeight="1">
      <c r="A145" s="12"/>
      <c r="B145" s="190" t="s">
        <v>0</v>
      </c>
      <c r="C145" s="197"/>
      <c r="D145" s="197"/>
      <c r="E145" s="139" t="s">
        <v>50</v>
      </c>
      <c r="F145" s="197"/>
      <c r="G145" s="197"/>
      <c r="H145" s="197"/>
      <c r="I145" s="197"/>
      <c r="J145" s="2"/>
      <c r="K145" s="2"/>
      <c r="L145" s="2"/>
    </row>
    <row r="146" spans="1:13" s="1" customFormat="1" ht="12" customHeight="1">
      <c r="A146" s="12"/>
      <c r="B146" s="197"/>
      <c r="C146" s="197"/>
      <c r="D146" s="197"/>
      <c r="E146" s="197"/>
      <c r="F146" s="197"/>
      <c r="G146" s="197"/>
      <c r="H146" s="197"/>
      <c r="I146" s="139"/>
      <c r="J146" s="2"/>
      <c r="K146" s="2"/>
      <c r="L146" s="2"/>
      <c r="M146" s="2"/>
    </row>
    <row r="147" spans="2:9" ht="12" customHeight="1">
      <c r="B147" s="271" t="s">
        <v>51</v>
      </c>
      <c r="C147" s="271"/>
      <c r="D147" s="200"/>
      <c r="E147" s="69" t="s">
        <v>52</v>
      </c>
      <c r="F147" s="69" t="s">
        <v>53</v>
      </c>
      <c r="G147" s="144"/>
      <c r="H147" s="69" t="s">
        <v>1</v>
      </c>
      <c r="I147" s="128" t="s">
        <v>33</v>
      </c>
    </row>
    <row r="148" spans="2:9" ht="12" customHeight="1">
      <c r="B148" s="255"/>
      <c r="C148" s="255"/>
      <c r="D148" s="83"/>
      <c r="E148" s="245"/>
      <c r="F148" s="246"/>
      <c r="G148" s="144"/>
      <c r="H148" s="248"/>
      <c r="I148" s="201">
        <f aca="true" t="shared" si="3" ref="I148:I153">IF(H148&lt;200,ROUND(IF(((200-H148)/200)*(1*H148)&gt;0,((200-H148)/200)*(1*H148),0),3),0)</f>
        <v>0</v>
      </c>
    </row>
    <row r="149" spans="2:9" ht="12" customHeight="1">
      <c r="B149" s="255"/>
      <c r="C149" s="255"/>
      <c r="D149" s="83"/>
      <c r="E149" s="247"/>
      <c r="F149" s="246"/>
      <c r="G149" s="144"/>
      <c r="H149" s="248"/>
      <c r="I149" s="201">
        <f t="shared" si="3"/>
        <v>0</v>
      </c>
    </row>
    <row r="150" spans="2:9" ht="12" customHeight="1">
      <c r="B150" s="255"/>
      <c r="C150" s="255"/>
      <c r="D150" s="83"/>
      <c r="E150" s="245"/>
      <c r="F150" s="246"/>
      <c r="G150" s="144"/>
      <c r="H150" s="248"/>
      <c r="I150" s="201">
        <f t="shared" si="3"/>
        <v>0</v>
      </c>
    </row>
    <row r="151" spans="2:9" ht="12" customHeight="1">
      <c r="B151" s="255"/>
      <c r="C151" s="255"/>
      <c r="D151" s="83"/>
      <c r="E151" s="245"/>
      <c r="F151" s="246"/>
      <c r="G151" s="144"/>
      <c r="H151" s="248"/>
      <c r="I151" s="201">
        <f t="shared" si="3"/>
        <v>0</v>
      </c>
    </row>
    <row r="152" spans="2:9" ht="12" customHeight="1">
      <c r="B152" s="255"/>
      <c r="C152" s="255"/>
      <c r="D152" s="83"/>
      <c r="E152" s="245"/>
      <c r="F152" s="246"/>
      <c r="G152" s="144"/>
      <c r="H152" s="249"/>
      <c r="I152" s="201">
        <f t="shared" si="3"/>
        <v>0</v>
      </c>
    </row>
    <row r="153" spans="2:9" ht="12" customHeight="1">
      <c r="B153" s="255"/>
      <c r="C153" s="255"/>
      <c r="D153" s="83"/>
      <c r="E153" s="245"/>
      <c r="F153" s="246"/>
      <c r="G153" s="144"/>
      <c r="H153" s="249"/>
      <c r="I153" s="202">
        <f t="shared" si="3"/>
        <v>0</v>
      </c>
    </row>
    <row r="154" spans="2:9" ht="12" customHeight="1">
      <c r="B154" s="83"/>
      <c r="C154" s="109"/>
      <c r="D154" s="83"/>
      <c r="E154" s="83"/>
      <c r="F154" s="83"/>
      <c r="G154" s="83"/>
      <c r="H154" s="92" t="s">
        <v>118</v>
      </c>
      <c r="I154" s="203">
        <f>SUM(I148:I153)</f>
        <v>0</v>
      </c>
    </row>
    <row r="155" spans="2:9" ht="12" customHeight="1">
      <c r="B155" s="83"/>
      <c r="C155" s="83"/>
      <c r="D155" s="83"/>
      <c r="E155" s="83"/>
      <c r="F155" s="83"/>
      <c r="G155" s="83"/>
      <c r="H155" s="71"/>
      <c r="I155" s="203"/>
    </row>
    <row r="156" spans="1:9" ht="12" customHeight="1">
      <c r="A156" s="29" t="str">
        <f>"2."</f>
        <v>2.</v>
      </c>
      <c r="B156" s="146" t="s">
        <v>54</v>
      </c>
      <c r="C156" s="83"/>
      <c r="D156" s="83"/>
      <c r="E156" s="83"/>
      <c r="F156" s="83"/>
      <c r="G156" s="83"/>
      <c r="H156" s="83"/>
      <c r="I156" s="139"/>
    </row>
    <row r="157" spans="1:9" ht="12" customHeight="1">
      <c r="A157" s="52"/>
      <c r="B157" s="190" t="s">
        <v>165</v>
      </c>
      <c r="C157" s="83"/>
      <c r="D157" s="83"/>
      <c r="E157" s="83"/>
      <c r="F157" s="83"/>
      <c r="G157" s="83"/>
      <c r="H157" s="83"/>
      <c r="I157" s="139"/>
    </row>
    <row r="158" spans="1:9" ht="12" customHeight="1">
      <c r="A158" s="52"/>
      <c r="B158" s="204" t="s">
        <v>75</v>
      </c>
      <c r="C158" s="83"/>
      <c r="D158" s="83"/>
      <c r="E158" s="83"/>
      <c r="F158" s="83"/>
      <c r="G158" s="83"/>
      <c r="H158" s="83"/>
      <c r="I158" s="139"/>
    </row>
    <row r="159" spans="1:9" ht="12" customHeight="1">
      <c r="A159" s="52"/>
      <c r="B159" s="100"/>
      <c r="C159" s="197"/>
      <c r="D159" s="197"/>
      <c r="E159" s="197"/>
      <c r="F159" s="197"/>
      <c r="G159" s="197"/>
      <c r="H159" s="197"/>
      <c r="I159" s="139"/>
    </row>
    <row r="160" spans="1:9" ht="12" customHeight="1">
      <c r="A160" s="52"/>
      <c r="B160" s="83"/>
      <c r="C160" s="197"/>
      <c r="D160" s="197"/>
      <c r="E160" s="139" t="s">
        <v>166</v>
      </c>
      <c r="F160" s="197"/>
      <c r="G160" s="197"/>
      <c r="H160" s="197"/>
      <c r="I160" s="139"/>
    </row>
    <row r="161" spans="1:9" ht="12" customHeight="1">
      <c r="A161" s="53"/>
      <c r="B161" s="100"/>
      <c r="C161" s="100"/>
      <c r="D161" s="100"/>
      <c r="E161" s="100"/>
      <c r="F161" s="100"/>
      <c r="G161" s="100"/>
      <c r="H161" s="100"/>
      <c r="I161" s="144"/>
    </row>
    <row r="162" spans="1:9" ht="12" customHeight="1">
      <c r="A162" s="52"/>
      <c r="B162" s="271" t="s">
        <v>51</v>
      </c>
      <c r="C162" s="271"/>
      <c r="D162" s="200"/>
      <c r="E162" s="69" t="s">
        <v>52</v>
      </c>
      <c r="F162" s="69" t="s">
        <v>53</v>
      </c>
      <c r="G162" s="100"/>
      <c r="H162" s="69" t="s">
        <v>1</v>
      </c>
      <c r="I162" s="128" t="s">
        <v>33</v>
      </c>
    </row>
    <row r="163" spans="1:9" ht="12" customHeight="1">
      <c r="A163" s="52"/>
      <c r="B163" s="255" t="s">
        <v>190</v>
      </c>
      <c r="C163" s="255"/>
      <c r="D163" s="83"/>
      <c r="E163" s="245">
        <v>11</v>
      </c>
      <c r="F163" s="246" t="s">
        <v>191</v>
      </c>
      <c r="G163" s="144"/>
      <c r="H163" s="248">
        <v>67</v>
      </c>
      <c r="I163" s="201">
        <f aca="true" t="shared" si="4" ref="I163:I168">IF(H163&lt;400,ROUND(MAX(((200-H163)/200)*(2*H163),((400-H163)/400)*(1.6*H163)),3),0)</f>
        <v>89.244</v>
      </c>
    </row>
    <row r="164" spans="1:9" ht="12" customHeight="1">
      <c r="A164" s="52"/>
      <c r="B164" s="255"/>
      <c r="C164" s="255"/>
      <c r="D164" s="83"/>
      <c r="E164" s="245"/>
      <c r="F164" s="246"/>
      <c r="G164" s="144"/>
      <c r="H164" s="248"/>
      <c r="I164" s="201">
        <f t="shared" si="4"/>
        <v>0</v>
      </c>
    </row>
    <row r="165" spans="1:9" ht="12" customHeight="1">
      <c r="A165" s="52"/>
      <c r="B165" s="255"/>
      <c r="C165" s="255"/>
      <c r="D165" s="83"/>
      <c r="E165" s="245"/>
      <c r="F165" s="246"/>
      <c r="G165" s="144"/>
      <c r="H165" s="248"/>
      <c r="I165" s="201">
        <f t="shared" si="4"/>
        <v>0</v>
      </c>
    </row>
    <row r="166" spans="1:10" ht="12" customHeight="1">
      <c r="A166" s="52"/>
      <c r="B166" s="255"/>
      <c r="C166" s="255"/>
      <c r="D166" s="83"/>
      <c r="E166" s="245"/>
      <c r="F166" s="246"/>
      <c r="G166" s="144"/>
      <c r="H166" s="248"/>
      <c r="I166" s="201">
        <f t="shared" si="4"/>
        <v>0</v>
      </c>
      <c r="J166" s="10"/>
    </row>
    <row r="167" spans="1:9" ht="12" customHeight="1">
      <c r="A167" s="52"/>
      <c r="B167" s="255"/>
      <c r="C167" s="255"/>
      <c r="D167" s="83"/>
      <c r="E167" s="245"/>
      <c r="F167" s="246"/>
      <c r="G167" s="144"/>
      <c r="H167" s="248"/>
      <c r="I167" s="201">
        <f t="shared" si="4"/>
        <v>0</v>
      </c>
    </row>
    <row r="168" spans="1:12" ht="12" customHeight="1">
      <c r="A168" s="52"/>
      <c r="B168" s="255"/>
      <c r="C168" s="255"/>
      <c r="D168" s="100"/>
      <c r="E168" s="245"/>
      <c r="F168" s="246"/>
      <c r="G168" s="144"/>
      <c r="H168" s="248"/>
      <c r="I168" s="202">
        <f t="shared" si="4"/>
        <v>0</v>
      </c>
      <c r="K168" s="10"/>
      <c r="L168" s="10"/>
    </row>
    <row r="169" spans="1:9" ht="12" customHeight="1">
      <c r="A169" s="52"/>
      <c r="B169" s="83"/>
      <c r="C169" s="205"/>
      <c r="D169" s="83"/>
      <c r="E169" s="83"/>
      <c r="F169" s="83"/>
      <c r="G169" s="83"/>
      <c r="H169" s="92" t="s">
        <v>55</v>
      </c>
      <c r="I169" s="203">
        <f>SUM(I163:I168)</f>
        <v>89.244</v>
      </c>
    </row>
    <row r="170" spans="1:13" ht="12" customHeight="1">
      <c r="A170" s="52"/>
      <c r="B170" s="83"/>
      <c r="C170" s="83"/>
      <c r="D170" s="83"/>
      <c r="E170" s="83"/>
      <c r="F170" s="83"/>
      <c r="G170" s="83"/>
      <c r="H170" s="71"/>
      <c r="I170" s="203"/>
      <c r="M170" s="10"/>
    </row>
    <row r="171" spans="1:13" s="10" customFormat="1" ht="12" customHeight="1">
      <c r="A171" s="29" t="str">
        <f>"3."</f>
        <v>3.</v>
      </c>
      <c r="B171" s="146" t="s">
        <v>56</v>
      </c>
      <c r="C171" s="83"/>
      <c r="D171" s="83"/>
      <c r="E171" s="83"/>
      <c r="F171" s="83"/>
      <c r="G171" s="83"/>
      <c r="H171" s="83"/>
      <c r="I171" s="139"/>
      <c r="J171" s="2"/>
      <c r="K171" s="2"/>
      <c r="L171" s="2"/>
      <c r="M171" s="2"/>
    </row>
    <row r="172" spans="1:9" ht="12" customHeight="1">
      <c r="A172" s="52"/>
      <c r="B172" s="190" t="s">
        <v>76</v>
      </c>
      <c r="C172" s="83"/>
      <c r="D172" s="83"/>
      <c r="E172" s="83"/>
      <c r="F172" s="83"/>
      <c r="G172" s="83"/>
      <c r="H172" s="83"/>
      <c r="I172" s="139"/>
    </row>
    <row r="173" spans="1:9" ht="12" customHeight="1">
      <c r="A173" s="52"/>
      <c r="B173" s="190" t="s">
        <v>77</v>
      </c>
      <c r="C173" s="83"/>
      <c r="D173" s="83"/>
      <c r="E173" s="83"/>
      <c r="F173" s="83"/>
      <c r="G173" s="83"/>
      <c r="H173" s="83"/>
      <c r="I173" s="139"/>
    </row>
    <row r="174" spans="1:9" ht="12" customHeight="1">
      <c r="A174" s="52"/>
      <c r="B174" s="83"/>
      <c r="C174" s="197"/>
      <c r="D174" s="197"/>
      <c r="E174" s="128" t="s">
        <v>57</v>
      </c>
      <c r="F174" s="197"/>
      <c r="G174" s="197"/>
      <c r="H174" s="197"/>
      <c r="I174" s="139"/>
    </row>
    <row r="175" spans="1:9" ht="12" customHeight="1">
      <c r="A175" s="52"/>
      <c r="B175" s="190" t="s">
        <v>167</v>
      </c>
      <c r="C175" s="83"/>
      <c r="D175" s="83"/>
      <c r="E175" s="83"/>
      <c r="F175" s="83"/>
      <c r="G175" s="250"/>
      <c r="H175" s="206" t="str">
        <f>IF(AND(G175&lt;&gt;0,I26&gt;10000),I26/G175,"N.A. ")</f>
        <v>N.A. </v>
      </c>
      <c r="I175" s="139"/>
    </row>
    <row r="176" spans="1:9" ht="12" customHeight="1">
      <c r="A176" s="52"/>
      <c r="B176" s="190" t="s">
        <v>58</v>
      </c>
      <c r="C176" s="83"/>
      <c r="D176" s="83"/>
      <c r="E176" s="83"/>
      <c r="F176" s="83"/>
      <c r="G176" s="83"/>
      <c r="H176" s="251"/>
      <c r="I176" s="201">
        <f>IF(I26&gt;0,ROUND(IF(H175&lt;4000,(4000-(I26/H176))*0.5,0),3),ROUND(IF(H175&lt;4000,(4000-(I26/H176))*0.5,0),3))</f>
        <v>0</v>
      </c>
    </row>
    <row r="177" spans="1:9" ht="12" customHeight="1">
      <c r="A177" s="52"/>
      <c r="B177" s="109"/>
      <c r="C177" s="83"/>
      <c r="D177" s="83"/>
      <c r="E177" s="83"/>
      <c r="F177" s="83"/>
      <c r="G177" s="83"/>
      <c r="H177" s="94"/>
      <c r="I177" s="201"/>
    </row>
    <row r="178" spans="1:9" ht="12" customHeight="1">
      <c r="A178" s="29" t="str">
        <f>"4."</f>
        <v>4.</v>
      </c>
      <c r="B178" s="146" t="s">
        <v>59</v>
      </c>
      <c r="C178" s="83"/>
      <c r="D178" s="83"/>
      <c r="E178" s="83"/>
      <c r="F178" s="83"/>
      <c r="G178" s="83"/>
      <c r="H178" s="83"/>
      <c r="I178" s="139"/>
    </row>
    <row r="179" spans="1:9" ht="12" customHeight="1">
      <c r="A179" s="27"/>
      <c r="B179" s="190" t="s">
        <v>60</v>
      </c>
      <c r="C179" s="83"/>
      <c r="D179" s="83"/>
      <c r="E179" s="83"/>
      <c r="F179" s="83"/>
      <c r="G179" s="100"/>
      <c r="H179" s="100"/>
      <c r="I179" s="144"/>
    </row>
    <row r="180" spans="1:9" ht="12" customHeight="1">
      <c r="A180" s="27"/>
      <c r="B180" s="190"/>
      <c r="C180" s="83"/>
      <c r="D180" s="83"/>
      <c r="E180" s="83"/>
      <c r="F180" s="83"/>
      <c r="G180" s="100"/>
      <c r="H180" s="207" t="s">
        <v>61</v>
      </c>
      <c r="I180" s="128" t="s">
        <v>33</v>
      </c>
    </row>
    <row r="181" spans="1:9" ht="12" customHeight="1">
      <c r="A181" s="27"/>
      <c r="B181" s="190" t="s">
        <v>62</v>
      </c>
      <c r="C181" s="83"/>
      <c r="D181" s="83"/>
      <c r="E181" s="83"/>
      <c r="F181" s="83"/>
      <c r="G181" s="83"/>
      <c r="H181" s="244"/>
      <c r="I181" s="201">
        <f>ROUND(IF(H181="YES",I26*0.147,0),3)</f>
        <v>0</v>
      </c>
    </row>
    <row r="182" spans="1:9" ht="12" customHeight="1">
      <c r="A182" s="27"/>
      <c r="B182" s="190"/>
      <c r="C182" s="83" t="s">
        <v>63</v>
      </c>
      <c r="D182" s="83"/>
      <c r="E182" s="83"/>
      <c r="F182" s="83"/>
      <c r="G182" s="83"/>
      <c r="H182" s="83"/>
      <c r="I182" s="139"/>
    </row>
    <row r="183" spans="1:9" ht="12" customHeight="1">
      <c r="A183" s="27"/>
      <c r="B183" s="190"/>
      <c r="C183" s="83"/>
      <c r="D183" s="83"/>
      <c r="E183" s="83"/>
      <c r="F183" s="83"/>
      <c r="G183" s="83"/>
      <c r="H183" s="83"/>
      <c r="I183" s="139"/>
    </row>
    <row r="184" spans="2:9" ht="12" customHeight="1">
      <c r="B184" s="190" t="s">
        <v>64</v>
      </c>
      <c r="C184" s="83"/>
      <c r="D184" s="83"/>
      <c r="E184" s="83"/>
      <c r="F184" s="83"/>
      <c r="G184" s="83"/>
      <c r="H184" s="83"/>
      <c r="I184" s="139"/>
    </row>
    <row r="185" spans="2:9" ht="12" customHeight="1">
      <c r="B185" s="190"/>
      <c r="C185" s="83"/>
      <c r="D185" s="83"/>
      <c r="E185" s="128" t="s">
        <v>65</v>
      </c>
      <c r="F185" s="83"/>
      <c r="G185" s="83"/>
      <c r="H185" s="244"/>
      <c r="I185" s="201">
        <f>ROUND(IF(H185="YES",(E109-I26)*0.17,0),3)</f>
        <v>0</v>
      </c>
    </row>
    <row r="186" spans="1:9" ht="12" customHeight="1">
      <c r="A186" s="13"/>
      <c r="B186" s="14"/>
      <c r="C186" s="1"/>
      <c r="D186" s="1"/>
      <c r="E186" s="1"/>
      <c r="F186" s="1"/>
      <c r="G186" s="1"/>
      <c r="H186" s="1"/>
      <c r="I186" s="15"/>
    </row>
    <row r="187" ht="12" customHeight="1">
      <c r="I187" s="4"/>
    </row>
    <row r="188" ht="12" customHeight="1">
      <c r="I188" s="4"/>
    </row>
    <row r="189" ht="12" customHeight="1">
      <c r="I189" s="4"/>
    </row>
    <row r="190" ht="12" customHeight="1">
      <c r="I190" s="4"/>
    </row>
    <row r="191" ht="12" customHeight="1">
      <c r="I191" s="4"/>
    </row>
    <row r="192" ht="12" customHeight="1">
      <c r="I192" s="4"/>
    </row>
    <row r="193" ht="12" customHeight="1">
      <c r="I193" s="4"/>
    </row>
    <row r="194" ht="12" customHeight="1">
      <c r="I194" s="4"/>
    </row>
    <row r="195" ht="12" customHeight="1">
      <c r="I195" s="4"/>
    </row>
    <row r="196" ht="12" customHeight="1">
      <c r="I196" s="4"/>
    </row>
    <row r="197" ht="12" customHeight="1">
      <c r="I197" s="4"/>
    </row>
    <row r="198" ht="12" customHeight="1">
      <c r="I198" s="4"/>
    </row>
    <row r="199" ht="12" customHeight="1">
      <c r="I199" s="4"/>
    </row>
    <row r="200" ht="12" customHeight="1">
      <c r="I200" s="4"/>
    </row>
    <row r="201" ht="12" customHeight="1">
      <c r="I201" s="4"/>
    </row>
    <row r="202" ht="12" customHeight="1">
      <c r="I202" s="4"/>
    </row>
    <row r="203" ht="12" customHeight="1">
      <c r="I203" s="4"/>
    </row>
    <row r="204" ht="12" customHeight="1">
      <c r="I204" s="4"/>
    </row>
    <row r="205" ht="12" customHeight="1">
      <c r="I205" s="4"/>
    </row>
    <row r="206" ht="12" customHeight="1">
      <c r="I206" s="4"/>
    </row>
    <row r="207" ht="12" customHeight="1">
      <c r="I207" s="4"/>
    </row>
    <row r="208" ht="12" customHeight="1">
      <c r="I208" s="4"/>
    </row>
    <row r="209" ht="12" customHeight="1">
      <c r="I209" s="4"/>
    </row>
    <row r="210" ht="12" customHeight="1">
      <c r="I210" s="4"/>
    </row>
    <row r="211" ht="12" customHeight="1">
      <c r="I211" s="4"/>
    </row>
    <row r="212" ht="12" customHeight="1">
      <c r="I212" s="4"/>
    </row>
    <row r="213" ht="12" customHeight="1">
      <c r="I213" s="4"/>
    </row>
    <row r="214" ht="12" customHeight="1">
      <c r="I214" s="4"/>
    </row>
    <row r="215" ht="12" customHeight="1">
      <c r="I215" s="4"/>
    </row>
    <row r="216" ht="12" customHeight="1">
      <c r="I216" s="4"/>
    </row>
    <row r="217" ht="12" customHeight="1">
      <c r="I217" s="4"/>
    </row>
    <row r="218" ht="12" customHeight="1">
      <c r="I218" s="4"/>
    </row>
    <row r="219" ht="12" customHeight="1">
      <c r="B219" s="8" t="s">
        <v>158</v>
      </c>
    </row>
  </sheetData>
  <sheetProtection/>
  <mergeCells count="20">
    <mergeCell ref="H135:I136"/>
    <mergeCell ref="E135:G136"/>
    <mergeCell ref="B163:C163"/>
    <mergeCell ref="B164:C164"/>
    <mergeCell ref="B152:C152"/>
    <mergeCell ref="B153:C153"/>
    <mergeCell ref="B147:C147"/>
    <mergeCell ref="B162:C162"/>
    <mergeCell ref="B148:C148"/>
    <mergeCell ref="B149:C149"/>
    <mergeCell ref="B150:C150"/>
    <mergeCell ref="B151:C151"/>
    <mergeCell ref="B167:C167"/>
    <mergeCell ref="B168:C168"/>
    <mergeCell ref="B165:C165"/>
    <mergeCell ref="B166:C166"/>
    <mergeCell ref="C1:E1"/>
    <mergeCell ref="B25:C25"/>
    <mergeCell ref="B27:C27"/>
    <mergeCell ref="B107:E107"/>
  </mergeCells>
  <printOptions horizontalCentered="1" verticalCentered="1"/>
  <pageMargins left="0.25" right="0.25" top="0.91" bottom="0.35" header="0.17" footer="0.17"/>
  <pageSetup fitToHeight="2" horizontalDpi="600" verticalDpi="600" orientation="portrait" scale="91" r:id="rId4"/>
  <headerFooter alignWithMargins="0">
    <oddHeader xml:space="preserve">&amp;C&amp;"Arial,Bold"&amp;11 2011-2012 STATE EQUALIZATION GUARANTEE COMPUTATION
REVENUE ESTIMATE WORKSHEET
&amp;10BASED ON &amp;8
&amp;10 2010-2011 STARS FINAL 80/120 DAY AVERAGE </oddHeader>
    <oddFooter>&amp;L&amp;F   &amp;D  &amp;T&amp;RPage &amp;P of &amp;N</oddFooter>
  </headerFooter>
  <rowBreaks count="2" manualBreakCount="2">
    <brk id="69" max="8" man="1"/>
    <brk id="137" max="8" man="1"/>
  </rowBreaks>
  <drawing r:id="rId3"/>
  <legacyDrawing r:id="rId2"/>
</worksheet>
</file>

<file path=xl/worksheets/sheet2.xml><?xml version="1.0" encoding="utf-8"?>
<worksheet xmlns="http://schemas.openxmlformats.org/spreadsheetml/2006/main" xmlns:r="http://schemas.openxmlformats.org/officeDocument/2006/relationships">
  <dimension ref="A1:D8486"/>
  <sheetViews>
    <sheetView view="pageBreakPreview" zoomScaleSheetLayoutView="100" zoomScalePageLayoutView="0" workbookViewId="0" topLeftCell="A22">
      <selection activeCell="A22" sqref="A22"/>
    </sheetView>
  </sheetViews>
  <sheetFormatPr defaultColWidth="9.33203125" defaultRowHeight="30" customHeight="1"/>
  <cols>
    <col min="1" max="1" width="69.5" style="45" customWidth="1"/>
    <col min="2" max="2" width="32.83203125" style="46" customWidth="1"/>
    <col min="3" max="3" width="11.66015625" style="1" bestFit="1" customWidth="1"/>
    <col min="4" max="16384" width="9.33203125" style="1" customWidth="1"/>
  </cols>
  <sheetData>
    <row r="1" spans="1:2" ht="28.5" customHeight="1">
      <c r="A1" s="272" t="s">
        <v>178</v>
      </c>
      <c r="B1" s="273"/>
    </row>
    <row r="2" spans="1:2" ht="11.25" customHeight="1">
      <c r="A2" s="274"/>
      <c r="B2" s="275"/>
    </row>
    <row r="3" spans="1:2" ht="45" customHeight="1">
      <c r="A3" s="276" t="s">
        <v>179</v>
      </c>
      <c r="B3" s="277"/>
    </row>
    <row r="4" spans="1:2" ht="6.75" customHeight="1">
      <c r="A4" s="32"/>
      <c r="B4" s="208"/>
    </row>
    <row r="5" spans="1:2" ht="13.5" customHeight="1">
      <c r="A5" s="33" t="s">
        <v>180</v>
      </c>
      <c r="B5" s="209">
        <v>753578</v>
      </c>
    </row>
    <row r="6" spans="1:2" s="35" customFormat="1" ht="12.75" customHeight="1">
      <c r="A6" s="34" t="s">
        <v>181</v>
      </c>
      <c r="B6" s="210">
        <v>947742</v>
      </c>
    </row>
    <row r="7" spans="1:2" s="37" customFormat="1" ht="12.75" customHeight="1">
      <c r="A7" s="36" t="s">
        <v>124</v>
      </c>
      <c r="B7" s="211">
        <f>IF(B5&gt;=200000000,0.05,IF(B5&gt;=25000000,0.08,IF(B5&gt;=10000000,0.1,IF(B5&gt;=5000000,0.12,0.18))))</f>
        <v>0.18</v>
      </c>
    </row>
    <row r="8" spans="1:2" s="38" customFormat="1" ht="12.75" customHeight="1">
      <c r="A8" s="49" t="s">
        <v>125</v>
      </c>
      <c r="B8" s="212">
        <f>ROUND(+B6*B7,0)</f>
        <v>170594</v>
      </c>
    </row>
    <row r="9" spans="1:4" s="38" customFormat="1" ht="12.75" customHeight="1">
      <c r="A9" s="39"/>
      <c r="B9" s="213"/>
      <c r="D9" s="40"/>
    </row>
    <row r="10" spans="1:2" s="42" customFormat="1" ht="12.75" customHeight="1">
      <c r="A10" s="43"/>
      <c r="B10" s="214"/>
    </row>
    <row r="11" spans="1:2" s="42" customFormat="1" ht="12.75" customHeight="1">
      <c r="A11" s="41" t="s">
        <v>127</v>
      </c>
      <c r="B11" s="215"/>
    </row>
    <row r="12" spans="1:2" s="42" customFormat="1" ht="12.75" customHeight="1">
      <c r="A12" s="36" t="s">
        <v>182</v>
      </c>
      <c r="B12" s="216">
        <v>939678</v>
      </c>
    </row>
    <row r="13" spans="1:2" s="42" customFormat="1" ht="12.75" customHeight="1">
      <c r="A13" s="36" t="s">
        <v>183</v>
      </c>
      <c r="B13" s="216">
        <f>'910B-5'!H118</f>
        <v>0</v>
      </c>
    </row>
    <row r="14" spans="1:2" s="42" customFormat="1" ht="12.75" customHeight="1">
      <c r="A14" s="36" t="s">
        <v>184</v>
      </c>
      <c r="B14" s="216">
        <f>'910B-5'!H119</f>
        <v>0</v>
      </c>
    </row>
    <row r="15" spans="1:2" s="42" customFormat="1" ht="12.75" customHeight="1" thickBot="1">
      <c r="A15" s="36" t="s">
        <v>185</v>
      </c>
      <c r="B15" s="217">
        <f>'910B-5'!H117</f>
        <v>0</v>
      </c>
    </row>
    <row r="16" spans="1:2" s="42" customFormat="1" ht="12.75" customHeight="1" thickTop="1">
      <c r="A16" s="41" t="s">
        <v>128</v>
      </c>
      <c r="B16" s="218">
        <f>+B12-B13-B14-B15</f>
        <v>939678</v>
      </c>
    </row>
    <row r="17" spans="1:2" s="42" customFormat="1" ht="12.75" customHeight="1">
      <c r="A17" s="50" t="s">
        <v>129</v>
      </c>
      <c r="B17" s="219">
        <f>+B16/B12</f>
        <v>1</v>
      </c>
    </row>
    <row r="18" spans="1:2" s="42" customFormat="1" ht="12.75" customHeight="1">
      <c r="A18" s="41"/>
      <c r="B18" s="215"/>
    </row>
    <row r="19" spans="1:2" s="42" customFormat="1" ht="12.75" customHeight="1">
      <c r="A19" s="41"/>
      <c r="B19" s="215"/>
    </row>
    <row r="20" spans="1:2" s="42" customFormat="1" ht="12.75" customHeight="1">
      <c r="A20" s="36" t="s">
        <v>186</v>
      </c>
      <c r="B20" s="216">
        <v>156710</v>
      </c>
    </row>
    <row r="21" spans="1:2" s="42" customFormat="1" ht="12.75" customHeight="1">
      <c r="A21" s="36" t="str">
        <f>+A17</f>
        <v>Adjusted Operational Revenues/Budgeted Operational Revenues</v>
      </c>
      <c r="B21" s="220">
        <f>+B17</f>
        <v>1</v>
      </c>
    </row>
    <row r="22" spans="1:2" s="42" customFormat="1" ht="12.75" customHeight="1">
      <c r="A22" s="51" t="s">
        <v>130</v>
      </c>
      <c r="B22" s="214">
        <f>+B20*B21</f>
        <v>156710</v>
      </c>
    </row>
    <row r="23" spans="1:2" s="42" customFormat="1" ht="12.75" customHeight="1">
      <c r="A23" s="51"/>
      <c r="B23" s="214"/>
    </row>
    <row r="24" spans="1:2" s="42" customFormat="1" ht="12.75" customHeight="1">
      <c r="A24" s="41" t="s">
        <v>126</v>
      </c>
      <c r="B24" s="215"/>
    </row>
    <row r="25" spans="1:2" s="42" customFormat="1" ht="12.75" customHeight="1">
      <c r="A25" s="43" t="s">
        <v>130</v>
      </c>
      <c r="B25" s="218">
        <f>B22</f>
        <v>156710</v>
      </c>
    </row>
    <row r="26" spans="1:2" s="42" customFormat="1" ht="12.75" customHeight="1">
      <c r="A26" s="49" t="s">
        <v>140</v>
      </c>
      <c r="B26" s="214">
        <f>ROUND(B25*0.18,0)</f>
        <v>28208</v>
      </c>
    </row>
    <row r="27" spans="1:2" s="42" customFormat="1" ht="12.75" customHeight="1">
      <c r="A27" s="51"/>
      <c r="B27" s="214"/>
    </row>
    <row r="28" spans="1:2" s="42" customFormat="1" ht="12.75" customHeight="1">
      <c r="A28" s="41"/>
      <c r="B28" s="215"/>
    </row>
    <row r="29" spans="1:2" s="42" customFormat="1" ht="12.75" customHeight="1">
      <c r="A29" s="36" t="s">
        <v>131</v>
      </c>
      <c r="B29" s="214">
        <f>B22</f>
        <v>156710</v>
      </c>
    </row>
    <row r="30" spans="1:2" s="42" customFormat="1" ht="12.75" customHeight="1">
      <c r="A30" s="36" t="s">
        <v>132</v>
      </c>
      <c r="B30" s="218">
        <f>-B8</f>
        <v>-170594</v>
      </c>
    </row>
    <row r="31" spans="1:2" s="42" customFormat="1" ht="12.75" customHeight="1">
      <c r="A31" s="51" t="s">
        <v>133</v>
      </c>
      <c r="B31" s="221">
        <f>IF(-B30&gt;B29,0,B29+B30)</f>
        <v>0</v>
      </c>
    </row>
    <row r="32" spans="1:2" s="42" customFormat="1" ht="12.75" customHeight="1">
      <c r="A32" s="36"/>
      <c r="B32" s="215"/>
    </row>
    <row r="33" spans="1:2" s="42" customFormat="1" ht="12.75" customHeight="1">
      <c r="A33" s="36"/>
      <c r="B33" s="222"/>
    </row>
    <row r="34" spans="1:2" ht="12.75" customHeight="1">
      <c r="A34" s="41" t="s">
        <v>134</v>
      </c>
      <c r="B34" s="215"/>
    </row>
    <row r="35" spans="1:2" ht="12.75" customHeight="1">
      <c r="A35" s="51" t="s">
        <v>135</v>
      </c>
      <c r="B35" s="221">
        <f>IF(B31&lt;B26,B31,B26)</f>
        <v>0</v>
      </c>
    </row>
    <row r="36" spans="1:2" ht="12.75" customHeight="1">
      <c r="A36" s="44"/>
      <c r="B36" s="222"/>
    </row>
    <row r="37" ht="15" customHeight="1"/>
    <row r="38" spans="1:2" ht="15" customHeight="1">
      <c r="A38" s="47" t="str">
        <f>'910B-5'!C1</f>
        <v>Anthony Charter School</v>
      </c>
      <c r="B38" s="48" t="str">
        <f>'910B-5'!I1</f>
        <v>019-011</v>
      </c>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c r="A8486" s="45" t="s">
        <v>158</v>
      </c>
    </row>
  </sheetData>
  <sheetProtection/>
  <mergeCells count="3">
    <mergeCell ref="A1:B1"/>
    <mergeCell ref="A2:B2"/>
    <mergeCell ref="A3:B3"/>
  </mergeCells>
  <printOptions horizontalCentered="1" verticalCentered="1"/>
  <pageMargins left="0.75" right="0.75" top="1" bottom="2.31" header="0.5" footer="2.03"/>
  <pageSetup horizontalDpi="600" verticalDpi="600" orientation="portrait" r:id="rId1"/>
  <headerFooter alignWithMargins="0">
    <oddFooter xml:space="preserve">&amp;L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School Budget Planning Unit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Kathleen Forrer</dc:creator>
  <cp:keywords/>
  <dc:description/>
  <cp:lastModifiedBy>Marco Perales</cp:lastModifiedBy>
  <cp:lastPrinted>2011-04-20T16:22:50Z</cp:lastPrinted>
  <dcterms:created xsi:type="dcterms:W3CDTF">1998-02-20T21:21:02Z</dcterms:created>
  <dcterms:modified xsi:type="dcterms:W3CDTF">2011-05-09T21:24:00Z</dcterms:modified>
  <cp:category/>
  <cp:version/>
  <cp:contentType/>
  <cp:contentStatus/>
</cp:coreProperties>
</file>